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Ejecucion del presupuesto\"/>
    </mc:Choice>
  </mc:AlternateContent>
  <bookViews>
    <workbookView xWindow="0" yWindow="0" windowWidth="20490" windowHeight="7755" firstSheet="1" activeTab="1"/>
  </bookViews>
  <sheets>
    <sheet name="EJEC GTO  (3)" sheetId="29" r:id="rId1"/>
    <sheet name="relacion ingresos" sheetId="4" r:id="rId2"/>
    <sheet name="relacion de gastos" sheetId="1" r:id="rId3"/>
    <sheet name="VAR. CXP " sheetId="24" r:id="rId4"/>
    <sheet name="VAR. EFECT" sheetId="3" r:id="rId5"/>
    <sheet name="EJ. INGRESO" sheetId="14" r:id="rId6"/>
    <sheet name="EJEC GTO " sheetId="27" r:id="rId7"/>
    <sheet name="Hoja1" sheetId="25" r:id="rId8"/>
  </sheets>
  <definedNames>
    <definedName name="_xlnm.Print_Area" localSheetId="5">'EJ. INGRESO'!$A$1:$G$48</definedName>
    <definedName name="_xlnm.Print_Area" localSheetId="2">'relacion de gastos'!$A$3:$G$31</definedName>
    <definedName name="_xlnm.Print_Area" localSheetId="1">'relacion ingresos'!$A$1:$F$38</definedName>
  </definedNames>
  <calcPr calcId="171026"/>
</workbook>
</file>

<file path=xl/calcChain.xml><?xml version="1.0" encoding="utf-8"?>
<calcChain xmlns="http://schemas.openxmlformats.org/spreadsheetml/2006/main">
  <c r="F27" i="4" l="1"/>
  <c r="Q93" i="27"/>
  <c r="P93" i="27"/>
  <c r="Q164" i="27"/>
  <c r="P164" i="27"/>
  <c r="Q81" i="27"/>
  <c r="P81" i="27"/>
  <c r="P90" i="27"/>
  <c r="Q50" i="27"/>
  <c r="P50" i="27"/>
  <c r="Q68" i="27"/>
  <c r="P68" i="27"/>
  <c r="Q78" i="27"/>
  <c r="P78" i="27"/>
  <c r="Q82" i="27"/>
  <c r="P82" i="27"/>
  <c r="Q85" i="27"/>
  <c r="P85" i="27"/>
  <c r="Q90" i="27"/>
  <c r="Q56" i="27"/>
  <c r="P49" i="27"/>
  <c r="P165" i="27"/>
  <c r="P207" i="27"/>
  <c r="Q236" i="27"/>
  <c r="P98" i="27"/>
  <c r="P44" i="27"/>
  <c r="B24" i="24"/>
  <c r="B25" i="24"/>
  <c r="D27" i="24"/>
  <c r="B15" i="24"/>
  <c r="P53" i="27"/>
  <c r="P153" i="27"/>
  <c r="Q20" i="27"/>
  <c r="P20" i="27"/>
  <c r="P142" i="27"/>
  <c r="Q98" i="27"/>
  <c r="P39" i="27"/>
  <c r="P33" i="27"/>
  <c r="E13" i="1"/>
  <c r="Q64" i="27"/>
  <c r="P64" i="27"/>
  <c r="Q153" i="27"/>
  <c r="Q145" i="27"/>
  <c r="Q65" i="27"/>
  <c r="Q62" i="27"/>
  <c r="Q73" i="27"/>
  <c r="P73" i="27"/>
  <c r="Q97" i="27"/>
  <c r="Q95" i="27"/>
  <c r="P65" i="27"/>
  <c r="P62" i="27"/>
  <c r="Q58" i="27"/>
  <c r="P58" i="27"/>
  <c r="B14" i="24"/>
  <c r="G12" i="1"/>
  <c r="G24" i="1"/>
  <c r="G25" i="1"/>
  <c r="G26" i="1"/>
  <c r="D17" i="24"/>
  <c r="Q28" i="27"/>
  <c r="P72" i="27"/>
  <c r="Q248" i="29"/>
  <c r="R263" i="29"/>
  <c r="R269" i="29"/>
  <c r="R265" i="29"/>
  <c r="R252" i="29"/>
  <c r="P247" i="29"/>
  <c r="P249" i="29"/>
  <c r="Q247" i="29"/>
  <c r="R249" i="29"/>
  <c r="Q210" i="29"/>
  <c r="Q214" i="29"/>
  <c r="Q213" i="29"/>
  <c r="Q208" i="29"/>
  <c r="Q216" i="29"/>
  <c r="P210" i="29"/>
  <c r="P214" i="29"/>
  <c r="P213" i="29"/>
  <c r="P208" i="29"/>
  <c r="P216" i="29"/>
  <c r="O208" i="29"/>
  <c r="O216" i="29"/>
  <c r="Q174" i="29"/>
  <c r="Q172" i="29"/>
  <c r="Q169" i="29"/>
  <c r="Q168" i="29"/>
  <c r="Q166" i="29"/>
  <c r="Q158" i="29"/>
  <c r="Q157" i="29"/>
  <c r="Q161" i="29"/>
  <c r="Q160" i="29"/>
  <c r="Q163" i="29"/>
  <c r="Q155" i="29"/>
  <c r="Q147" i="29"/>
  <c r="Q146" i="29"/>
  <c r="Q150" i="29"/>
  <c r="Q149" i="29"/>
  <c r="Q152" i="29"/>
  <c r="Q143" i="29"/>
  <c r="Q177" i="29"/>
  <c r="P174" i="29"/>
  <c r="P172" i="29"/>
  <c r="P169" i="29"/>
  <c r="P168" i="29"/>
  <c r="P166" i="29"/>
  <c r="P158" i="29"/>
  <c r="P157" i="29"/>
  <c r="P161" i="29"/>
  <c r="P160" i="29"/>
  <c r="P163" i="29"/>
  <c r="P155" i="29"/>
  <c r="P147" i="29"/>
  <c r="P146" i="29"/>
  <c r="P150" i="29"/>
  <c r="P149" i="29"/>
  <c r="P152" i="29"/>
  <c r="P143" i="29"/>
  <c r="P177" i="29"/>
  <c r="O172" i="29"/>
  <c r="O166" i="29"/>
  <c r="O155" i="29"/>
  <c r="O143" i="29"/>
  <c r="O177" i="29"/>
  <c r="P102" i="29"/>
  <c r="P99" i="29"/>
  <c r="P97" i="29"/>
  <c r="O97" i="29"/>
  <c r="Q90" i="29"/>
  <c r="P90" i="29"/>
  <c r="Q89" i="29"/>
  <c r="P89" i="29"/>
  <c r="Q86" i="29"/>
  <c r="P86" i="29"/>
  <c r="Q83" i="29"/>
  <c r="P83" i="29"/>
  <c r="Q80" i="29"/>
  <c r="P80" i="29"/>
  <c r="Q79" i="29"/>
  <c r="P79" i="29"/>
  <c r="P77" i="29"/>
  <c r="Q76" i="29"/>
  <c r="P76" i="29"/>
  <c r="Q74" i="29"/>
  <c r="P74" i="29"/>
  <c r="O74" i="29"/>
  <c r="Q71" i="29"/>
  <c r="P71" i="29"/>
  <c r="Q69" i="29"/>
  <c r="P69" i="29"/>
  <c r="Q67" i="29"/>
  <c r="P67" i="29"/>
  <c r="Q66" i="29"/>
  <c r="P66" i="29"/>
  <c r="Q64" i="29"/>
  <c r="P64" i="29"/>
  <c r="Q62" i="29"/>
  <c r="P62" i="29"/>
  <c r="P59" i="29"/>
  <c r="Q57" i="29"/>
  <c r="P57" i="29"/>
  <c r="Q56" i="29"/>
  <c r="P56" i="29"/>
  <c r="Q54" i="29"/>
  <c r="P54" i="29"/>
  <c r="Q53" i="29"/>
  <c r="P53" i="29"/>
  <c r="P51" i="29"/>
  <c r="Q49" i="29"/>
  <c r="P49" i="29"/>
  <c r="P39" i="29"/>
  <c r="Q37" i="29"/>
  <c r="P37" i="29"/>
  <c r="O37" i="29"/>
  <c r="P33" i="29"/>
  <c r="Q30" i="29"/>
  <c r="P30" i="29"/>
  <c r="Q28" i="29"/>
  <c r="P28" i="29"/>
  <c r="Q24" i="29"/>
  <c r="P24" i="29"/>
  <c r="Q20" i="29"/>
  <c r="P20" i="29"/>
  <c r="Q19" i="29"/>
  <c r="P19" i="29"/>
  <c r="Q18" i="29"/>
  <c r="P18" i="29"/>
  <c r="Q16" i="29"/>
  <c r="P16" i="29"/>
  <c r="O16" i="29"/>
  <c r="F37" i="4"/>
  <c r="Q207" i="27"/>
  <c r="D7" i="24"/>
  <c r="D6" i="24"/>
  <c r="D5" i="24"/>
  <c r="D8" i="2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8" i="4"/>
  <c r="F29" i="4"/>
  <c r="F30" i="4"/>
  <c r="B31" i="4"/>
  <c r="C31" i="4"/>
  <c r="D31" i="4"/>
  <c r="E31" i="4"/>
  <c r="F31" i="4"/>
  <c r="F32" i="4"/>
  <c r="F33" i="4"/>
  <c r="F34" i="4"/>
  <c r="F35" i="4"/>
  <c r="F36" i="4"/>
  <c r="P95" i="29"/>
  <c r="B38" i="4"/>
  <c r="C38" i="4"/>
  <c r="D38" i="4"/>
  <c r="E38" i="4"/>
  <c r="F38" i="4"/>
  <c r="G11" i="1"/>
  <c r="B13" i="1"/>
  <c r="D13" i="1"/>
  <c r="G13" i="1"/>
  <c r="G14" i="1"/>
  <c r="G15" i="1"/>
  <c r="G16" i="1"/>
  <c r="G17" i="1"/>
  <c r="F18" i="1"/>
  <c r="G18" i="1"/>
  <c r="C19" i="1"/>
  <c r="G19" i="1"/>
  <c r="G20" i="1"/>
  <c r="G21" i="1"/>
  <c r="G22" i="1"/>
  <c r="G23" i="1"/>
  <c r="G28" i="1"/>
  <c r="B29" i="1"/>
  <c r="C29" i="1"/>
  <c r="D29" i="1"/>
  <c r="E29" i="1"/>
  <c r="B8" i="24"/>
  <c r="C8" i="24"/>
  <c r="D11" i="24"/>
  <c r="D19" i="24"/>
  <c r="D29" i="24"/>
  <c r="D31" i="24"/>
  <c r="D33" i="24"/>
  <c r="B5" i="3"/>
  <c r="B6" i="3"/>
  <c r="B10" i="3"/>
  <c r="G16" i="14"/>
  <c r="G15" i="14"/>
  <c r="G18" i="14"/>
  <c r="G13" i="14"/>
  <c r="G22" i="14"/>
  <c r="G23" i="14"/>
  <c r="G21" i="14"/>
  <c r="G28" i="14"/>
  <c r="G27" i="14"/>
  <c r="G31" i="14"/>
  <c r="G30" i="14"/>
  <c r="G34" i="14"/>
  <c r="G33" i="14"/>
  <c r="G37" i="14"/>
  <c r="G36" i="14"/>
  <c r="G41" i="14"/>
  <c r="G43" i="14"/>
  <c r="P19" i="27"/>
  <c r="P18" i="27"/>
  <c r="Q19" i="27"/>
  <c r="Q18" i="27"/>
  <c r="Q24" i="27"/>
  <c r="P28" i="27"/>
  <c r="P24" i="27"/>
  <c r="P30" i="27"/>
  <c r="Q30" i="27"/>
  <c r="Q48" i="27"/>
  <c r="P48" i="27"/>
  <c r="P52" i="27"/>
  <c r="Q53" i="27"/>
  <c r="Q52" i="27"/>
  <c r="P56" i="27"/>
  <c r="P55" i="27"/>
  <c r="Q55" i="27"/>
  <c r="Q67" i="27"/>
  <c r="P67" i="27"/>
  <c r="P70" i="27"/>
  <c r="Q72" i="27"/>
  <c r="Q70" i="27"/>
  <c r="Q77" i="27"/>
  <c r="P77" i="27"/>
  <c r="P80" i="27"/>
  <c r="Q80" i="27"/>
  <c r="P84" i="27"/>
  <c r="Q84" i="27"/>
  <c r="P89" i="27"/>
  <c r="Q89" i="27"/>
  <c r="P92" i="27"/>
  <c r="P75" i="27"/>
  <c r="Q92" i="27"/>
  <c r="P97" i="27"/>
  <c r="P95" i="27"/>
  <c r="P102" i="27"/>
  <c r="P105" i="27"/>
  <c r="P100" i="27"/>
  <c r="O100" i="27"/>
  <c r="P141" i="27"/>
  <c r="Q142" i="27"/>
  <c r="Q141" i="27"/>
  <c r="P145" i="27"/>
  <c r="P144" i="27"/>
  <c r="Q144" i="27"/>
  <c r="P147" i="27"/>
  <c r="Q147" i="27"/>
  <c r="P152" i="27"/>
  <c r="Q152" i="27"/>
  <c r="P156" i="27"/>
  <c r="P155" i="27"/>
  <c r="Q156" i="27"/>
  <c r="Q155" i="27"/>
  <c r="P158" i="27"/>
  <c r="Q158" i="27"/>
  <c r="P163" i="27"/>
  <c r="P161" i="27"/>
  <c r="Q163" i="27"/>
  <c r="Q161" i="27"/>
  <c r="P169" i="27"/>
  <c r="P167" i="27"/>
  <c r="Q169" i="27"/>
  <c r="Q167" i="27"/>
  <c r="P203" i="27"/>
  <c r="Q203" i="27"/>
  <c r="Q206" i="27"/>
  <c r="P235" i="27"/>
  <c r="Q235" i="27"/>
  <c r="P237" i="27"/>
  <c r="Q237" i="27"/>
  <c r="R251" i="27"/>
  <c r="R253" i="27"/>
  <c r="R257" i="27"/>
  <c r="Q249" i="29"/>
  <c r="G25" i="14"/>
  <c r="G39" i="14"/>
  <c r="G45" i="14"/>
  <c r="P94" i="29"/>
  <c r="P92" i="29"/>
  <c r="P105" i="29"/>
  <c r="P217" i="29"/>
  <c r="P250" i="29"/>
  <c r="P252" i="29"/>
  <c r="Q150" i="27"/>
  <c r="P150" i="27"/>
  <c r="O150" i="27"/>
  <c r="P206" i="27"/>
  <c r="P201" i="27"/>
  <c r="Q201" i="27"/>
  <c r="Q209" i="27"/>
  <c r="O161" i="27"/>
  <c r="O95" i="27"/>
  <c r="O167" i="27"/>
  <c r="Q75" i="27"/>
  <c r="O201" i="27"/>
  <c r="O209" i="27"/>
  <c r="P209" i="27"/>
  <c r="F29" i="1"/>
  <c r="G27" i="1"/>
  <c r="G29" i="1"/>
  <c r="B7" i="3"/>
  <c r="B8" i="3"/>
  <c r="B9" i="3"/>
  <c r="B11" i="3"/>
  <c r="O75" i="27"/>
  <c r="Q95" i="29"/>
  <c r="Q94" i="29"/>
  <c r="Q92" i="29"/>
  <c r="Q105" i="29"/>
  <c r="Q217" i="29"/>
  <c r="Q250" i="29"/>
  <c r="S269" i="29"/>
  <c r="Q252" i="29"/>
  <c r="O92" i="29"/>
  <c r="O105" i="29"/>
  <c r="O217" i="29"/>
  <c r="O219" i="29"/>
  <c r="Q139" i="27"/>
  <c r="P139" i="27"/>
  <c r="Q16" i="27"/>
  <c r="P16" i="27"/>
  <c r="O139" i="27"/>
  <c r="O16" i="27"/>
  <c r="O172" i="27"/>
  <c r="Q172" i="27"/>
  <c r="P172" i="27"/>
  <c r="P37" i="27"/>
  <c r="P108" i="27"/>
  <c r="Q37" i="27"/>
  <c r="F41" i="4"/>
  <c r="P210" i="27"/>
  <c r="P238" i="27"/>
  <c r="O37" i="27"/>
  <c r="O108" i="27"/>
  <c r="O210" i="27"/>
  <c r="Q108" i="27"/>
  <c r="Q210" i="27"/>
  <c r="Q238" i="27"/>
  <c r="S257" i="27"/>
</calcChain>
</file>

<file path=xl/sharedStrings.xml><?xml version="1.0" encoding="utf-8"?>
<sst xmlns="http://schemas.openxmlformats.org/spreadsheetml/2006/main" count="826" uniqueCount="263">
  <si>
    <t>EJECUCION PRESUPUESTARIA DEL GASTO</t>
  </si>
  <si>
    <t>Formulario No. 2</t>
  </si>
  <si>
    <t>INSTITUCION: JARDIN BOTANICO NACIONAL "R. RAFAEL Ma. MOSCOSO"</t>
  </si>
  <si>
    <t>REGISTRO INTERNO ONAPRES</t>
  </si>
  <si>
    <t>CODIGO:</t>
  </si>
  <si>
    <t>NUMERO:</t>
  </si>
  <si>
    <t xml:space="preserve">MES: </t>
  </si>
  <si>
    <t>Abril</t>
  </si>
  <si>
    <t>HORA:</t>
  </si>
  <si>
    <t xml:space="preserve">AÑO: </t>
  </si>
  <si>
    <t>FECHA:</t>
  </si>
  <si>
    <t>IMPUTACION PRESUPUESTARIA</t>
  </si>
  <si>
    <t>EJECUCION  DEL GASTO</t>
  </si>
  <si>
    <t>CLASIF. OBJ. DEL GASTOS</t>
  </si>
  <si>
    <t>COMPROMISO</t>
  </si>
  <si>
    <t>DEVENGADO</t>
  </si>
  <si>
    <t>PAGADO</t>
  </si>
  <si>
    <t>PROG.</t>
  </si>
  <si>
    <t>SUB</t>
  </si>
  <si>
    <t>PROV.</t>
  </si>
  <si>
    <t>ACT /</t>
  </si>
  <si>
    <t>UB.</t>
  </si>
  <si>
    <t>FUNC.</t>
  </si>
  <si>
    <t>FONDO</t>
  </si>
  <si>
    <t>TIPO</t>
  </si>
  <si>
    <t>OBJ</t>
  </si>
  <si>
    <t>OBRA</t>
  </si>
  <si>
    <t>GEOG.</t>
  </si>
  <si>
    <t>CTA</t>
  </si>
  <si>
    <t>AUX</t>
  </si>
  <si>
    <t>DESCRIPCION</t>
  </si>
  <si>
    <t>00</t>
  </si>
  <si>
    <t>10.01.001</t>
  </si>
  <si>
    <t xml:space="preserve">SERVICIOS PERSONALES </t>
  </si>
  <si>
    <t>3.2.01</t>
  </si>
  <si>
    <t xml:space="preserve">REMUNERACIONES </t>
  </si>
  <si>
    <t>Sueldos fijos</t>
  </si>
  <si>
    <t xml:space="preserve">Sueldos al personal contratado y/o igualado </t>
  </si>
  <si>
    <t>Prestaciones economicas</t>
  </si>
  <si>
    <t>Proporcion de vacaciones no disfrutadas</t>
  </si>
  <si>
    <t xml:space="preserve">SOBRESUELDOS </t>
  </si>
  <si>
    <t xml:space="preserve">Compensación por gastos de alimentación </t>
  </si>
  <si>
    <t>Compensacion por horas extraordinarias</t>
  </si>
  <si>
    <t xml:space="preserve">Prima de transporte </t>
  </si>
  <si>
    <t>Compensaciones especiales</t>
  </si>
  <si>
    <t xml:space="preserve">DIETAS Y GASTOS DE REPRESENTACION </t>
  </si>
  <si>
    <t>Gastos de representacion en el pais</t>
  </si>
  <si>
    <t>CONTRIBUCIONES A LA SEGURIDAD SOCIAL Y RIESGO LABORAL</t>
  </si>
  <si>
    <t>Contribuciones al seguro de pensiones</t>
  </si>
  <si>
    <t>Contribuciones al seguro de riesgo laboral</t>
  </si>
  <si>
    <t xml:space="preserve">SERVICIOS NO PERSONALES </t>
  </si>
  <si>
    <t xml:space="preserve">SERVICIOS BASICOS </t>
  </si>
  <si>
    <t>Servicio telefonico de larga distancia</t>
  </si>
  <si>
    <t xml:space="preserve">Teléfono local </t>
  </si>
  <si>
    <t>Telefax y correos</t>
  </si>
  <si>
    <t>Servicio de internet y television por cable</t>
  </si>
  <si>
    <t>Energia electrica</t>
  </si>
  <si>
    <t>Agua</t>
  </si>
  <si>
    <t xml:space="preserve">Recoleccion de residuos solidos </t>
  </si>
  <si>
    <t xml:space="preserve">PUBLICIDAD IMPRESIÓN Y ENCUADERNACION </t>
  </si>
  <si>
    <t xml:space="preserve">Publicidad y propaganda </t>
  </si>
  <si>
    <t>Impresion y encuadernacion</t>
  </si>
  <si>
    <t xml:space="preserve">VIÁTICOS </t>
  </si>
  <si>
    <t xml:space="preserve">Viáticos dentro del país </t>
  </si>
  <si>
    <t>TRANSPORTE Y ALMACENAJE</t>
  </si>
  <si>
    <t>Peaje</t>
  </si>
  <si>
    <t>SEGUROS</t>
  </si>
  <si>
    <t>Seguros de bienes muebles</t>
  </si>
  <si>
    <t>Seguros de personas</t>
  </si>
  <si>
    <t>SERVICIOS DE CONSERVACION, REPARACIONES MENORES E INSTALACIONES TEMPORALES</t>
  </si>
  <si>
    <t>Mantenimiento y reparacion de equipo educacional</t>
  </si>
  <si>
    <t>OTROS SERVICIOS NO PERSONALES</t>
  </si>
  <si>
    <t>Servicios funerarios y gastos conexos</t>
  </si>
  <si>
    <t>Estudios d/Ingenieria Arquitectura Investigac y est. d/fact</t>
  </si>
  <si>
    <t>Otros Servicios Tecnicos Profesionales</t>
  </si>
  <si>
    <t xml:space="preserve">MATERIALES Y SUMINISTROS </t>
  </si>
  <si>
    <t xml:space="preserve">ALIMENTOS Y PRODUCTOS AGROFORESTALES </t>
  </si>
  <si>
    <t xml:space="preserve">Alimentos y bebidas para personas </t>
  </si>
  <si>
    <t xml:space="preserve">PRODUCTOS DE PAPEL, CARTON E IMPRESOS </t>
  </si>
  <si>
    <t>Productos de papel y carton</t>
  </si>
  <si>
    <t>Libros, revistas y periodicos</t>
  </si>
  <si>
    <t xml:space="preserve">PRODUCTOS DE CUERO, CAUCHO Y PLÁSTICO </t>
  </si>
  <si>
    <t>Articulos de caucho</t>
  </si>
  <si>
    <t xml:space="preserve">PRODUCTOS DE MINERALES, METALICOS Y NO METALICOS </t>
  </si>
  <si>
    <t>Productos ferrosos</t>
  </si>
  <si>
    <t xml:space="preserve">COMBUSTIBLES, LUBRICANTES, PRODUCTOS QUIMICOS Y CONEXOS </t>
  </si>
  <si>
    <t xml:space="preserve">Gasolina </t>
  </si>
  <si>
    <t>TRANSFERENCIAS CORRIENTES</t>
  </si>
  <si>
    <t>TRANSFERENCIAS CORRIENTES A EMPRESAS PUBLICAS NO FINANCIERAS</t>
  </si>
  <si>
    <t>Otras Transf. Corrientes a Instituc Publicas no fcieras nac.</t>
  </si>
  <si>
    <t>BIENES MUEBLES, INMUEBLES E INTANGIBLES</t>
  </si>
  <si>
    <t>MOBILIARIO Y EQUIPO</t>
  </si>
  <si>
    <t>Muebles de oficina y estanteria</t>
  </si>
  <si>
    <t>MAQUINARIA, OTROS EQUIPOS Y HERRAMIENTAS</t>
  </si>
  <si>
    <t>Maquinaria y equipo agropecuario</t>
  </si>
  <si>
    <t>TOTAL</t>
  </si>
  <si>
    <t xml:space="preserve">       TOTAL</t>
  </si>
  <si>
    <t>Responsable del registro</t>
  </si>
  <si>
    <t xml:space="preserve">Trabajo realizado por </t>
  </si>
  <si>
    <t>Firma Responsable y Sello de la Institución</t>
  </si>
  <si>
    <t>Sueldos Fijos</t>
  </si>
  <si>
    <t>SOBRESUELDOS</t>
  </si>
  <si>
    <t>Compensaciones Especiales</t>
  </si>
  <si>
    <t>GRATIFICACIONES Y BONIFICACIONES</t>
  </si>
  <si>
    <t>Gratificaciones por pasantias</t>
  </si>
  <si>
    <t xml:space="preserve">TRANSPORTE Y ALMACENAJE </t>
  </si>
  <si>
    <t xml:space="preserve">Peaje </t>
  </si>
  <si>
    <t>Comisiones y gastos bancarios</t>
  </si>
  <si>
    <t>MATERIALES Y SUMINISTROS</t>
  </si>
  <si>
    <t>COMBUSTIBLES, LUBRICANTES , PROD QUIM Y CONEX</t>
  </si>
  <si>
    <t>Gasolina</t>
  </si>
  <si>
    <t>Equipo computacional</t>
  </si>
  <si>
    <t>OBJ.</t>
  </si>
  <si>
    <t>CTA.</t>
  </si>
  <si>
    <t>Compensacion por resultados</t>
  </si>
  <si>
    <t>TOTAL GENERAL</t>
  </si>
  <si>
    <t>APLICACIONES FINANCIERAS</t>
  </si>
  <si>
    <t>INCREMENTO DE ACTIVOS FINANCIEROS CORRIENTES</t>
  </si>
  <si>
    <t xml:space="preserve">Incremento de Disponibilidades Internas </t>
  </si>
  <si>
    <t>DISMINUCION DE PASIVOS CORRIENTES</t>
  </si>
  <si>
    <t>Disminución de Ctas por Pagar de Corto Plazo Corriente Internas</t>
  </si>
  <si>
    <t xml:space="preserve">cks  cta gral </t>
  </si>
  <si>
    <t>cks cta fondocyt</t>
  </si>
  <si>
    <t>libto fdo 100</t>
  </si>
  <si>
    <t>Libto fdo 9995</t>
  </si>
  <si>
    <t>Total Libtos</t>
  </si>
  <si>
    <t>Total Libtos + Cks.</t>
  </si>
  <si>
    <t>cuadrado todo</t>
  </si>
  <si>
    <t>Jardin Botanico Nacional</t>
  </si>
  <si>
    <t xml:space="preserve">Analisis de ingreso por Cuentas Bancarias </t>
  </si>
  <si>
    <t>Correspondiente al Mes de Abril del 2016</t>
  </si>
  <si>
    <t>Cuenta Banco Ingreso</t>
  </si>
  <si>
    <t>General</t>
  </si>
  <si>
    <t>Colectora</t>
  </si>
  <si>
    <t>Fdo Reponible</t>
  </si>
  <si>
    <t>Cta Unica</t>
  </si>
  <si>
    <t>Total</t>
  </si>
  <si>
    <t>Alquileres</t>
  </si>
  <si>
    <t>Alquiler de Tren</t>
  </si>
  <si>
    <t>Alquiler Salones y Areas</t>
  </si>
  <si>
    <t>De La adm central</t>
  </si>
  <si>
    <t>Transferencia Corriente</t>
  </si>
  <si>
    <t>Registro  Pago C X C  Empleados</t>
  </si>
  <si>
    <t>Boletas</t>
  </si>
  <si>
    <t>Ventas de la Tienda</t>
  </si>
  <si>
    <t xml:space="preserve">Club de Caminantes </t>
  </si>
  <si>
    <t>Libros</t>
  </si>
  <si>
    <t>Alimentos y Bebidas</t>
  </si>
  <si>
    <t>Cuidados y Mantenimiento de Orquideas</t>
  </si>
  <si>
    <t>Ventas Club de Caminantes</t>
  </si>
  <si>
    <t>Curso Diseño y Mantenimiento de Jardines</t>
  </si>
  <si>
    <t>Viaticos fuera del Pais</t>
  </si>
  <si>
    <t xml:space="preserve">Otros ingresos </t>
  </si>
  <si>
    <t>Contribucion</t>
  </si>
  <si>
    <t>Tarjetas de Orquideas</t>
  </si>
  <si>
    <t>Anticipo</t>
  </si>
  <si>
    <t>Sesiones de fotos</t>
  </si>
  <si>
    <t>Orquideas</t>
  </si>
  <si>
    <t>Plantas Acuaticas</t>
  </si>
  <si>
    <t>Plantas Vivero</t>
  </si>
  <si>
    <t>Tarros Vivero</t>
  </si>
  <si>
    <t>Abono</t>
  </si>
  <si>
    <t>Sub total</t>
  </si>
  <si>
    <t>Transf. Recibida registrada en Tesor  31/5</t>
  </si>
  <si>
    <t>Transf. Terceros Internet Banking</t>
  </si>
  <si>
    <t>Reintegros de Libramientos no.407 abr/16</t>
  </si>
  <si>
    <t>Reintegros de cks 20518 y 20701</t>
  </si>
  <si>
    <t>P/Edesur sept/nov/dic/15 y ene/feb/mar/16</t>
  </si>
  <si>
    <t>Pago Tesoreria de la Seg. S.</t>
  </si>
  <si>
    <t>Total General</t>
  </si>
  <si>
    <t>Relacion de los Gastos por Cuentas Bancarias</t>
  </si>
  <si>
    <t>Correspondiente al mes de Abril del 2016</t>
  </si>
  <si>
    <t>Cuentas de Gastos</t>
  </si>
  <si>
    <t xml:space="preserve">Colectora       </t>
  </si>
  <si>
    <t>Fondocyt</t>
  </si>
  <si>
    <t>Gastos</t>
  </si>
  <si>
    <t>Cargos  Bancarios</t>
  </si>
  <si>
    <t>Sub- Total</t>
  </si>
  <si>
    <t>Pago tesoreria de la Seg. Social</t>
  </si>
  <si>
    <t>Transf del 24/2 acreditada/bco feb y tesor/marzo</t>
  </si>
  <si>
    <t>Pago Energia Electrica Mayo 2015</t>
  </si>
  <si>
    <t>Confeccion de Cheques</t>
  </si>
  <si>
    <t>Pago Retenc. y Acumulac Nomina</t>
  </si>
  <si>
    <t>Correccion Transferencia</t>
  </si>
  <si>
    <t>Correccion de Itbis</t>
  </si>
  <si>
    <t>Reintegros de Libramientos</t>
  </si>
  <si>
    <t>Pago retencion libramiento fondo 100</t>
  </si>
  <si>
    <t>Pago Retencion libramiento Fondo 95</t>
  </si>
  <si>
    <t xml:space="preserve">           </t>
  </si>
  <si>
    <t>Pago Libramiento Fondo 100</t>
  </si>
  <si>
    <t>Pago Libramiento Fondo 95</t>
  </si>
  <si>
    <t>Pago Retencion fondo reponible Abril/16</t>
  </si>
  <si>
    <t>Nota de debito por Retencion 5% Tarjeta</t>
  </si>
  <si>
    <t xml:space="preserve"> </t>
  </si>
  <si>
    <t xml:space="preserve">            Jardín Botánico Nacional "Dr. Rafael Ma. Moscoso".</t>
  </si>
  <si>
    <t xml:space="preserve"> Variación de Cuentas por Pagar del més de Abril del 2016</t>
  </si>
  <si>
    <t>Nombre de la Cuenta</t>
  </si>
  <si>
    <t>Marzo</t>
  </si>
  <si>
    <t>VARIACION</t>
  </si>
  <si>
    <t>Cuentas por Pagar Proveedores</t>
  </si>
  <si>
    <t>Acumulacion y Retenc. Por pagar</t>
  </si>
  <si>
    <t>Otras Cuentas por pagar</t>
  </si>
  <si>
    <t>Saldo Inicial</t>
  </si>
  <si>
    <t>Mas: deuda del mes:</t>
  </si>
  <si>
    <t>Cuentas por pagar proveedores</t>
  </si>
  <si>
    <t>Otras cuentas por pagar</t>
  </si>
  <si>
    <t>Retenciones por pagar</t>
  </si>
  <si>
    <t>Total deuda del mes</t>
  </si>
  <si>
    <t>Deuda acumulada</t>
  </si>
  <si>
    <t>Menos: pagos del mes:</t>
  </si>
  <si>
    <t>Pagos proveedores</t>
  </si>
  <si>
    <t>Pago Retenciones</t>
  </si>
  <si>
    <t>Pago otras cuentas por pagar</t>
  </si>
  <si>
    <t>Total pago del mes</t>
  </si>
  <si>
    <t>Saldo Final</t>
  </si>
  <si>
    <t>menos: saldo inicial</t>
  </si>
  <si>
    <t>Variacion (Disminucion)</t>
  </si>
  <si>
    <t>Jardín Botánico Nacional "Dr. Rafael Ma. Moscoso".</t>
  </si>
  <si>
    <t>Variación de Efectivo del mes de Abril del 2016</t>
  </si>
  <si>
    <t>Más:  Ingresos del Mes</t>
  </si>
  <si>
    <t>Disponibilidades</t>
  </si>
  <si>
    <t>Menos: Gastos del Mes</t>
  </si>
  <si>
    <t>Balance final de efectivo</t>
  </si>
  <si>
    <t>Menos: Saldo Inicial</t>
  </si>
  <si>
    <t>Variación  (Disminucion)</t>
  </si>
  <si>
    <t>INFORME MENSUAL DEL INGRESO</t>
  </si>
  <si>
    <t>Formulario No. 1</t>
  </si>
  <si>
    <t>INSTITUCION:  JARDIN BOTANICO NACIONAL "DR. RAFAEL Ma. MOSCOSO".</t>
  </si>
  <si>
    <t>MES:</t>
  </si>
  <si>
    <t>Clasificación del Ingreso</t>
  </si>
  <si>
    <t>Denominación de la Cuenta</t>
  </si>
  <si>
    <t>Fondo</t>
  </si>
  <si>
    <t>Ingresos</t>
  </si>
  <si>
    <t>en el Mes</t>
  </si>
  <si>
    <t>GRUPO</t>
  </si>
  <si>
    <t>SUBGRUPO</t>
  </si>
  <si>
    <t>CUENTA</t>
  </si>
  <si>
    <t>CONTRIBUCIONES DE LA SEGURIDAD SOCIAL</t>
  </si>
  <si>
    <t>SEGURO DE SALUD Y RIESGO LABORAL</t>
  </si>
  <si>
    <t>CONTRIBUCIÓN PATRONAL</t>
  </si>
  <si>
    <t>SEGURO DE PENSIONES</t>
  </si>
  <si>
    <t>CONTRIBUCION PATRONAL</t>
  </si>
  <si>
    <t>DEL SECTOR PRIVADO INTERNO</t>
  </si>
  <si>
    <t xml:space="preserve">DE LA ADMINISTRACION CENTRAL </t>
  </si>
  <si>
    <t>OTROS INGRESOS</t>
  </si>
  <si>
    <t>VENTAS DE MERCANCIA DEL ESTADO</t>
  </si>
  <si>
    <t>"05"</t>
  </si>
  <si>
    <t>DEL GOBIERNO GENERAL</t>
  </si>
  <si>
    <t>VENTAS DE SERVICIOS DEL ESTADO</t>
  </si>
  <si>
    <t>"06"</t>
  </si>
  <si>
    <t>RENTA DE LA PROPIEDAD</t>
  </si>
  <si>
    <t>ALQUILERES</t>
  </si>
  <si>
    <t>INGRESOS DIVERSOS</t>
  </si>
  <si>
    <t>DISMINUCION DE CAJA Y BANCO</t>
  </si>
  <si>
    <t>_________________________</t>
  </si>
  <si>
    <t xml:space="preserve">                                                                                      __________________________________</t>
  </si>
  <si>
    <t>Responsable del Registro</t>
  </si>
  <si>
    <t xml:space="preserve">                                         Trabajo Realizado por           Firma Responsable y Sello de la Institución</t>
  </si>
  <si>
    <t>ALQUILERES Y RENTAS</t>
  </si>
  <si>
    <t>Alquileres y Rentas de Edificios y Locales</t>
  </si>
  <si>
    <t>Alquileres de Equipos de Transporte, Traccion y Elevacion</t>
  </si>
  <si>
    <t>Seguros de bienes inmuebles e infraestructura</t>
  </si>
  <si>
    <t>Productos explosivos y pirotecnias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</si>
</sst>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(General\)"/>
    <numFmt numFmtId="166" formatCode="_([$€-2]* #,##0.00_);_([$€-2]* \(#,##0.00\);_([$€-2]* &quot;-&quot;??_)"/>
  </numFmts>
  <fonts count="2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 val="singleAccounting"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u val="singleAccounting"/>
      <sz val="11"/>
      <name val="Arial"/>
      <family val="2"/>
    </font>
    <font>
      <u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u val="singleAccounting"/>
      <sz val="12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8">
    <xf numFmtId="0" fontId="0" fillId="0" borderId="0" xfId="0"/>
    <xf numFmtId="0" fontId="4" fillId="0" borderId="1" xfId="0" applyFont="1" applyBorder="1"/>
    <xf numFmtId="0" fontId="4" fillId="0" borderId="0" xfId="0" applyFont="1" applyBorder="1"/>
    <xf numFmtId="0" fontId="6" fillId="0" borderId="2" xfId="0" applyFont="1" applyBorder="1"/>
    <xf numFmtId="0" fontId="8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4" fontId="4" fillId="0" borderId="0" xfId="0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5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0" fontId="4" fillId="0" borderId="7" xfId="0" applyFont="1" applyBorder="1"/>
    <xf numFmtId="4" fontId="3" fillId="0" borderId="0" xfId="0" applyNumberFormat="1" applyFont="1" applyFill="1" applyBorder="1"/>
    <xf numFmtId="43" fontId="3" fillId="0" borderId="0" xfId="2" applyFont="1" applyBorder="1"/>
    <xf numFmtId="0" fontId="3" fillId="0" borderId="8" xfId="0" applyFont="1" applyBorder="1" applyAlignment="1">
      <alignment horizontal="center"/>
    </xf>
    <xf numFmtId="0" fontId="4" fillId="0" borderId="3" xfId="0" applyFont="1" applyBorder="1"/>
    <xf numFmtId="0" fontId="7" fillId="0" borderId="10" xfId="0" applyFont="1" applyBorder="1"/>
    <xf numFmtId="0" fontId="8" fillId="0" borderId="9" xfId="0" applyFont="1" applyBorder="1"/>
    <xf numFmtId="0" fontId="8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4" xfId="0" applyFont="1" applyBorder="1"/>
    <xf numFmtId="0" fontId="4" fillId="0" borderId="11" xfId="0" applyFont="1" applyBorder="1"/>
    <xf numFmtId="0" fontId="8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4" fillId="0" borderId="14" xfId="0" applyFont="1" applyBorder="1"/>
    <xf numFmtId="165" fontId="5" fillId="0" borderId="15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3" fillId="0" borderId="18" xfId="0" applyFont="1" applyBorder="1"/>
    <xf numFmtId="0" fontId="4" fillId="0" borderId="16" xfId="0" applyFont="1" applyBorder="1"/>
    <xf numFmtId="0" fontId="5" fillId="0" borderId="0" xfId="0" applyFont="1" applyBorder="1" applyAlignment="1"/>
    <xf numFmtId="43" fontId="0" fillId="0" borderId="0" xfId="0" applyNumberFormat="1"/>
    <xf numFmtId="165" fontId="0" fillId="0" borderId="0" xfId="0" applyNumberFormat="1" applyBorder="1" applyAlignment="1"/>
    <xf numFmtId="165" fontId="6" fillId="0" borderId="0" xfId="0" applyNumberFormat="1" applyFont="1" applyBorder="1" applyAlignment="1"/>
    <xf numFmtId="43" fontId="0" fillId="0" borderId="0" xfId="2" applyFont="1"/>
    <xf numFmtId="0" fontId="5" fillId="0" borderId="0" xfId="0" applyFont="1"/>
    <xf numFmtId="0" fontId="14" fillId="0" borderId="0" xfId="0" applyFont="1"/>
    <xf numFmtId="4" fontId="13" fillId="0" borderId="0" xfId="0" applyNumberFormat="1" applyFont="1" applyBorder="1"/>
    <xf numFmtId="4" fontId="13" fillId="0" borderId="0" xfId="0" applyNumberFormat="1" applyFont="1"/>
    <xf numFmtId="4" fontId="15" fillId="0" borderId="0" xfId="0" applyNumberFormat="1" applyFont="1" applyBorder="1"/>
    <xf numFmtId="43" fontId="14" fillId="0" borderId="0" xfId="2" applyFont="1"/>
    <xf numFmtId="43" fontId="0" fillId="0" borderId="0" xfId="2" applyFont="1" applyBorder="1"/>
    <xf numFmtId="0" fontId="10" fillId="0" borderId="19" xfId="0" applyFont="1" applyBorder="1" applyAlignment="1">
      <alignment horizontal="center"/>
    </xf>
    <xf numFmtId="0" fontId="10" fillId="0" borderId="0" xfId="0" applyFont="1"/>
    <xf numFmtId="0" fontId="3" fillId="0" borderId="0" xfId="0" applyFont="1"/>
    <xf numFmtId="0" fontId="18" fillId="0" borderId="0" xfId="0" applyFont="1" applyBorder="1" applyAlignment="1">
      <alignment horizontal="center"/>
    </xf>
    <xf numFmtId="43" fontId="10" fillId="0" borderId="0" xfId="2" applyFont="1" applyBorder="1"/>
    <xf numFmtId="0" fontId="11" fillId="0" borderId="1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3" xfId="0" applyFont="1" applyFill="1" applyBorder="1"/>
    <xf numFmtId="0" fontId="10" fillId="0" borderId="20" xfId="0" applyFont="1" applyFill="1" applyBorder="1"/>
    <xf numFmtId="0" fontId="10" fillId="0" borderId="4" xfId="0" applyFont="1" applyFill="1" applyBorder="1"/>
    <xf numFmtId="0" fontId="10" fillId="0" borderId="22" xfId="0" applyFont="1" applyFill="1" applyBorder="1"/>
    <xf numFmtId="0" fontId="11" fillId="0" borderId="23" xfId="0" applyFont="1" applyFill="1" applyBorder="1"/>
    <xf numFmtId="0" fontId="11" fillId="0" borderId="5" xfId="0" applyFont="1" applyFill="1" applyBorder="1"/>
    <xf numFmtId="0" fontId="10" fillId="0" borderId="5" xfId="0" applyFont="1" applyFill="1" applyBorder="1"/>
    <xf numFmtId="0" fontId="11" fillId="0" borderId="24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15" xfId="0" applyFont="1" applyFill="1" applyBorder="1"/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43" fontId="19" fillId="0" borderId="0" xfId="2" applyFont="1" applyFill="1" applyBorder="1"/>
    <xf numFmtId="43" fontId="20" fillId="0" borderId="0" xfId="2" applyFont="1" applyFill="1" applyBorder="1"/>
    <xf numFmtId="0" fontId="19" fillId="0" borderId="7" xfId="0" applyFont="1" applyFill="1" applyBorder="1"/>
    <xf numFmtId="43" fontId="19" fillId="0" borderId="7" xfId="2" applyFont="1" applyFill="1" applyBorder="1"/>
    <xf numFmtId="43" fontId="20" fillId="0" borderId="7" xfId="2" applyFont="1" applyFill="1" applyBorder="1"/>
    <xf numFmtId="4" fontId="19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/>
    <xf numFmtId="43" fontId="20" fillId="0" borderId="35" xfId="2" applyFont="1" applyFill="1" applyBorder="1"/>
    <xf numFmtId="43" fontId="20" fillId="0" borderId="36" xfId="2" applyFont="1" applyFill="1" applyBorder="1"/>
    <xf numFmtId="0" fontId="19" fillId="0" borderId="35" xfId="0" applyFont="1" applyFill="1" applyBorder="1" applyAlignment="1">
      <alignment horizontal="center"/>
    </xf>
    <xf numFmtId="43" fontId="20" fillId="0" borderId="37" xfId="2" applyNumberFormat="1" applyFont="1" applyFill="1" applyBorder="1"/>
    <xf numFmtId="0" fontId="20" fillId="0" borderId="15" xfId="0" applyFont="1" applyFill="1" applyBorder="1" applyAlignment="1">
      <alignment horizontal="center"/>
    </xf>
    <xf numFmtId="0" fontId="20" fillId="0" borderId="35" xfId="2" applyNumberFormat="1" applyFont="1" applyFill="1" applyBorder="1"/>
    <xf numFmtId="0" fontId="0" fillId="0" borderId="0" xfId="0" applyFill="1" applyBorder="1"/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4" fillId="0" borderId="0" xfId="0" applyFont="1" applyFill="1"/>
    <xf numFmtId="4" fontId="3" fillId="0" borderId="0" xfId="0" applyNumberFormat="1" applyFont="1" applyFill="1"/>
    <xf numFmtId="0" fontId="0" fillId="0" borderId="0" xfId="0" applyFill="1"/>
    <xf numFmtId="43" fontId="0" fillId="0" borderId="0" xfId="2" applyFont="1" applyFill="1"/>
    <xf numFmtId="43" fontId="12" fillId="0" borderId="0" xfId="2" applyFont="1" applyFill="1"/>
    <xf numFmtId="0" fontId="19" fillId="0" borderId="38" xfId="0" applyFont="1" applyFill="1" applyBorder="1" applyAlignment="1">
      <alignment horizontal="center"/>
    </xf>
    <xf numFmtId="0" fontId="19" fillId="0" borderId="38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19" xfId="0" applyFont="1" applyFill="1" applyBorder="1"/>
    <xf numFmtId="0" fontId="19" fillId="0" borderId="39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2" fillId="0" borderId="38" xfId="0" applyFont="1" applyFill="1" applyBorder="1" applyAlignment="1">
      <alignment vertical="center"/>
    </xf>
    <xf numFmtId="0" fontId="23" fillId="0" borderId="38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43" fontId="19" fillId="0" borderId="5" xfId="2" applyFont="1" applyFill="1" applyBorder="1"/>
    <xf numFmtId="43" fontId="20" fillId="0" borderId="38" xfId="2" applyFont="1" applyFill="1" applyBorder="1"/>
    <xf numFmtId="43" fontId="19" fillId="0" borderId="38" xfId="2" applyFont="1" applyFill="1" applyBorder="1"/>
    <xf numFmtId="43" fontId="19" fillId="0" borderId="39" xfId="2" applyFont="1" applyFill="1" applyBorder="1"/>
    <xf numFmtId="0" fontId="4" fillId="0" borderId="38" xfId="0" applyFont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38" xfId="0" applyFont="1" applyFill="1" applyBorder="1" applyAlignment="1">
      <alignment horizontal="center"/>
    </xf>
    <xf numFmtId="165" fontId="20" fillId="0" borderId="15" xfId="0" applyNumberFormat="1" applyFont="1" applyFill="1" applyBorder="1" applyAlignment="1">
      <alignment horizontal="center"/>
    </xf>
    <xf numFmtId="165" fontId="20" fillId="0" borderId="19" xfId="0" applyNumberFormat="1" applyFont="1" applyFill="1" applyBorder="1" applyAlignment="1">
      <alignment horizontal="center"/>
    </xf>
    <xf numFmtId="0" fontId="24" fillId="0" borderId="38" xfId="0" applyFont="1" applyFill="1" applyBorder="1" applyAlignment="1">
      <alignment vertical="center"/>
    </xf>
    <xf numFmtId="0" fontId="25" fillId="0" borderId="38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 wrapText="1"/>
    </xf>
    <xf numFmtId="0" fontId="0" fillId="0" borderId="38" xfId="0" applyBorder="1"/>
    <xf numFmtId="0" fontId="3" fillId="0" borderId="9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3" fillId="0" borderId="38" xfId="0" applyFont="1" applyBorder="1"/>
    <xf numFmtId="0" fontId="4" fillId="0" borderId="38" xfId="0" applyFont="1" applyBorder="1"/>
    <xf numFmtId="0" fontId="5" fillId="0" borderId="1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43" fontId="4" fillId="0" borderId="0" xfId="0" applyNumberFormat="1" applyFont="1" applyBorder="1" applyAlignment="1">
      <alignment horizontal="center"/>
    </xf>
    <xf numFmtId="43" fontId="10" fillId="0" borderId="0" xfId="2" applyFont="1" applyFill="1" applyBorder="1"/>
    <xf numFmtId="43" fontId="11" fillId="0" borderId="0" xfId="2" applyFont="1" applyFill="1"/>
    <xf numFmtId="43" fontId="11" fillId="0" borderId="0" xfId="2" applyFont="1" applyFill="1" applyBorder="1"/>
    <xf numFmtId="43" fontId="4" fillId="0" borderId="38" xfId="2" applyFont="1" applyFill="1" applyBorder="1"/>
    <xf numFmtId="0" fontId="20" fillId="0" borderId="41" xfId="0" applyFont="1" applyFill="1" applyBorder="1" applyAlignment="1">
      <alignment horizontal="left"/>
    </xf>
    <xf numFmtId="0" fontId="20" fillId="0" borderId="42" xfId="0" applyFont="1" applyFill="1" applyBorder="1" applyAlignment="1">
      <alignment horizontal="left"/>
    </xf>
    <xf numFmtId="0" fontId="20" fillId="0" borderId="43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6" fillId="0" borderId="38" xfId="0" applyFont="1" applyFill="1" applyBorder="1" applyAlignment="1">
      <alignment vertical="center"/>
    </xf>
    <xf numFmtId="43" fontId="20" fillId="0" borderId="19" xfId="2" applyFont="1" applyFill="1" applyBorder="1" applyAlignment="1">
      <alignment horizontal="center"/>
    </xf>
    <xf numFmtId="43" fontId="21" fillId="0" borderId="0" xfId="0" applyNumberFormat="1" applyFont="1" applyFill="1" applyAlignment="1">
      <alignment horizontal="center"/>
    </xf>
    <xf numFmtId="4" fontId="0" fillId="0" borderId="0" xfId="0" applyNumberFormat="1"/>
    <xf numFmtId="43" fontId="0" fillId="0" borderId="0" xfId="0" applyNumberFormat="1" applyFill="1"/>
    <xf numFmtId="43" fontId="0" fillId="0" borderId="0" xfId="2" applyFont="1" applyFill="1" applyBorder="1"/>
    <xf numFmtId="43" fontId="3" fillId="0" borderId="37" xfId="2" applyFont="1" applyFill="1" applyBorder="1"/>
    <xf numFmtId="0" fontId="8" fillId="0" borderId="1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165" fontId="5" fillId="0" borderId="38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38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8" fillId="0" borderId="38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3" fillId="0" borderId="38" xfId="0" applyFont="1" applyFill="1" applyBorder="1"/>
    <xf numFmtId="0" fontId="8" fillId="0" borderId="0" xfId="0" applyFont="1" applyFill="1" applyBorder="1"/>
    <xf numFmtId="43" fontId="4" fillId="0" borderId="0" xfId="0" applyNumberFormat="1" applyFont="1" applyFill="1"/>
    <xf numFmtId="43" fontId="3" fillId="0" borderId="0" xfId="2" applyFont="1" applyFill="1" applyBorder="1"/>
    <xf numFmtId="43" fontId="19" fillId="0" borderId="1" xfId="2" applyFont="1" applyFill="1" applyBorder="1"/>
    <xf numFmtId="0" fontId="27" fillId="0" borderId="38" xfId="0" applyFont="1" applyFill="1" applyBorder="1" applyAlignment="1">
      <alignment vertical="center"/>
    </xf>
    <xf numFmtId="43" fontId="20" fillId="0" borderId="46" xfId="2" applyFont="1" applyFill="1" applyBorder="1"/>
    <xf numFmtId="43" fontId="20" fillId="0" borderId="47" xfId="2" applyFont="1" applyFill="1" applyBorder="1"/>
    <xf numFmtId="43" fontId="20" fillId="0" borderId="0" xfId="0" applyNumberFormat="1" applyFont="1" applyFill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43" fontId="19" fillId="0" borderId="23" xfId="2" applyFont="1" applyFill="1" applyBorder="1"/>
    <xf numFmtId="43" fontId="20" fillId="0" borderId="19" xfId="2" applyFont="1" applyFill="1" applyBorder="1"/>
    <xf numFmtId="43" fontId="19" fillId="0" borderId="0" xfId="0" applyNumberFormat="1" applyFont="1" applyFill="1" applyBorder="1"/>
    <xf numFmtId="43" fontId="19" fillId="0" borderId="38" xfId="0" applyNumberFormat="1" applyFont="1" applyFill="1" applyBorder="1"/>
    <xf numFmtId="43" fontId="19" fillId="0" borderId="38" xfId="2" applyFont="1" applyFill="1" applyBorder="1" applyAlignment="1">
      <alignment horizontal="center"/>
    </xf>
    <xf numFmtId="0" fontId="8" fillId="0" borderId="0" xfId="0" applyFont="1" applyFill="1"/>
    <xf numFmtId="43" fontId="8" fillId="0" borderId="0" xfId="2" applyFont="1" applyFill="1"/>
    <xf numFmtId="0" fontId="22" fillId="0" borderId="38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center"/>
    </xf>
    <xf numFmtId="0" fontId="22" fillId="0" borderId="19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43" fontId="20" fillId="0" borderId="38" xfId="2" applyFont="1" applyFill="1" applyBorder="1" applyAlignment="1">
      <alignment horizontal="center"/>
    </xf>
    <xf numFmtId="165" fontId="20" fillId="0" borderId="38" xfId="0" applyNumberFormat="1" applyFont="1" applyFill="1" applyBorder="1" applyAlignment="1">
      <alignment horizontal="center"/>
    </xf>
    <xf numFmtId="0" fontId="19" fillId="0" borderId="38" xfId="0" applyFont="1" applyFill="1" applyBorder="1" applyAlignment="1">
      <alignment horizontal="left"/>
    </xf>
    <xf numFmtId="43" fontId="19" fillId="0" borderId="0" xfId="2" applyFont="1" applyFill="1" applyBorder="1" applyAlignment="1">
      <alignment horizontal="center"/>
    </xf>
    <xf numFmtId="43" fontId="20" fillId="0" borderId="0" xfId="2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39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39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43" fontId="19" fillId="0" borderId="5" xfId="2" applyFont="1" applyFill="1" applyBorder="1" applyAlignment="1">
      <alignment horizontal="center"/>
    </xf>
    <xf numFmtId="43" fontId="19" fillId="0" borderId="39" xfId="2" applyFont="1" applyFill="1" applyBorder="1" applyAlignment="1">
      <alignment horizontal="center"/>
    </xf>
    <xf numFmtId="0" fontId="20" fillId="0" borderId="46" xfId="0" applyFont="1" applyFill="1" applyBorder="1" applyAlignment="1">
      <alignment horizontal="left"/>
    </xf>
    <xf numFmtId="0" fontId="19" fillId="0" borderId="40" xfId="0" applyFont="1" applyFill="1" applyBorder="1"/>
    <xf numFmtId="0" fontId="20" fillId="0" borderId="38" xfId="0" applyFont="1" applyFill="1" applyBorder="1"/>
    <xf numFmtId="0" fontId="20" fillId="0" borderId="0" xfId="0" applyFont="1" applyFill="1" applyBorder="1"/>
    <xf numFmtId="0" fontId="20" fillId="0" borderId="1" xfId="0" applyFont="1" applyFill="1" applyBorder="1"/>
    <xf numFmtId="43" fontId="20" fillId="0" borderId="38" xfId="0" applyNumberFormat="1" applyFont="1" applyFill="1" applyBorder="1"/>
    <xf numFmtId="43" fontId="20" fillId="0" borderId="0" xfId="0" applyNumberFormat="1" applyFont="1" applyFill="1" applyBorder="1"/>
    <xf numFmtId="0" fontId="19" fillId="0" borderId="1" xfId="0" applyFont="1" applyFill="1" applyBorder="1"/>
    <xf numFmtId="0" fontId="23" fillId="0" borderId="1" xfId="0" applyFont="1" applyFill="1" applyBorder="1" applyAlignment="1">
      <alignment vertical="center"/>
    </xf>
    <xf numFmtId="0" fontId="23" fillId="0" borderId="48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43" fontId="20" fillId="0" borderId="37" xfId="2" applyFont="1" applyFill="1" applyBorder="1"/>
    <xf numFmtId="0" fontId="19" fillId="0" borderId="7" xfId="0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/>
    <xf numFmtId="0" fontId="19" fillId="0" borderId="0" xfId="0" applyFont="1" applyFill="1"/>
    <xf numFmtId="0" fontId="11" fillId="0" borderId="20" xfId="0" applyFont="1" applyFill="1" applyBorder="1"/>
    <xf numFmtId="165" fontId="10" fillId="0" borderId="1" xfId="0" applyNumberFormat="1" applyFont="1" applyFill="1" applyBorder="1"/>
    <xf numFmtId="0" fontId="11" fillId="0" borderId="3" xfId="0" applyFont="1" applyFill="1" applyBorder="1"/>
    <xf numFmtId="0" fontId="11" fillId="0" borderId="28" xfId="0" applyFont="1" applyFill="1" applyBorder="1"/>
    <xf numFmtId="43" fontId="20" fillId="0" borderId="1" xfId="2" applyFont="1" applyFill="1" applyBorder="1"/>
    <xf numFmtId="0" fontId="10" fillId="0" borderId="19" xfId="0" applyFont="1" applyBorder="1"/>
    <xf numFmtId="0" fontId="10" fillId="0" borderId="50" xfId="0" applyFont="1" applyFill="1" applyBorder="1" applyAlignment="1">
      <alignment horizontal="left"/>
    </xf>
    <xf numFmtId="43" fontId="19" fillId="0" borderId="0" xfId="2" applyFont="1" applyFill="1"/>
    <xf numFmtId="43" fontId="4" fillId="0" borderId="0" xfId="2" applyFont="1" applyFill="1"/>
    <xf numFmtId="43" fontId="20" fillId="0" borderId="51" xfId="2" applyFont="1" applyFill="1" applyBorder="1"/>
    <xf numFmtId="43" fontId="20" fillId="0" borderId="52" xfId="2" applyFont="1" applyFill="1" applyBorder="1"/>
    <xf numFmtId="43" fontId="11" fillId="0" borderId="0" xfId="2" applyFont="1" applyFill="1" applyBorder="1" applyAlignment="1">
      <alignment horizontal="center"/>
    </xf>
    <xf numFmtId="43" fontId="20" fillId="0" borderId="53" xfId="2" applyFont="1" applyFill="1" applyBorder="1"/>
    <xf numFmtId="43" fontId="20" fillId="0" borderId="54" xfId="2" applyFont="1" applyFill="1" applyBorder="1"/>
    <xf numFmtId="43" fontId="22" fillId="0" borderId="19" xfId="2" applyFont="1" applyFill="1" applyBorder="1" applyAlignment="1">
      <alignment horizontal="left" vertical="center" wrapText="1"/>
    </xf>
    <xf numFmtId="43" fontId="19" fillId="0" borderId="40" xfId="2" applyFont="1" applyFill="1" applyBorder="1"/>
    <xf numFmtId="43" fontId="17" fillId="0" borderId="0" xfId="2" applyFont="1" applyFill="1"/>
    <xf numFmtId="43" fontId="4" fillId="0" borderId="7" xfId="2" applyFont="1" applyFill="1" applyBorder="1"/>
    <xf numFmtId="43" fontId="5" fillId="0" borderId="0" xfId="2" applyFont="1" applyFill="1" applyBorder="1"/>
    <xf numFmtId="4" fontId="8" fillId="0" borderId="0" xfId="0" applyNumberFormat="1" applyFont="1" applyFill="1"/>
    <xf numFmtId="43" fontId="0" fillId="0" borderId="0" xfId="0" applyNumberFormat="1" applyFill="1" applyBorder="1"/>
    <xf numFmtId="0" fontId="0" fillId="0" borderId="0" xfId="0" applyFill="1" applyAlignment="1">
      <alignment horizontal="right"/>
    </xf>
    <xf numFmtId="164" fontId="3" fillId="0" borderId="46" xfId="0" applyNumberFormat="1" applyFont="1" applyFill="1" applyBorder="1"/>
    <xf numFmtId="4" fontId="16" fillId="0" borderId="0" xfId="0" applyNumberFormat="1" applyFont="1" applyFill="1" applyBorder="1"/>
    <xf numFmtId="43" fontId="11" fillId="0" borderId="0" xfId="0" applyNumberFormat="1" applyFont="1" applyFill="1" applyBorder="1" applyAlignment="1">
      <alignment horizontal="center"/>
    </xf>
    <xf numFmtId="4" fontId="20" fillId="3" borderId="0" xfId="0" applyNumberFormat="1" applyFont="1" applyFill="1" applyBorder="1"/>
    <xf numFmtId="43" fontId="20" fillId="4" borderId="0" xfId="2" applyFont="1" applyFill="1" applyBorder="1"/>
    <xf numFmtId="43" fontId="20" fillId="4" borderId="38" xfId="2" applyFont="1" applyFill="1" applyBorder="1"/>
    <xf numFmtId="0" fontId="3" fillId="0" borderId="19" xfId="0" applyFont="1" applyBorder="1" applyAlignment="1">
      <alignment horizontal="center"/>
    </xf>
    <xf numFmtId="43" fontId="4" fillId="0" borderId="45" xfId="2" applyFont="1" applyBorder="1"/>
    <xf numFmtId="43" fontId="4" fillId="0" borderId="49" xfId="2" applyFont="1" applyFill="1" applyBorder="1"/>
    <xf numFmtId="0" fontId="5" fillId="0" borderId="38" xfId="0" applyFont="1" applyBorder="1"/>
    <xf numFmtId="0" fontId="0" fillId="0" borderId="0" xfId="0" applyBorder="1" applyAlignment="1">
      <alignment horizont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43" fontId="22" fillId="0" borderId="1" xfId="2" applyFont="1" applyFill="1" applyBorder="1" applyAlignment="1">
      <alignment horizontal="left" vertical="center" wrapText="1"/>
    </xf>
    <xf numFmtId="0" fontId="19" fillId="0" borderId="55" xfId="0" applyFont="1" applyFill="1" applyBorder="1"/>
    <xf numFmtId="0" fontId="22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43" fontId="0" fillId="2" borderId="0" xfId="0" applyNumberFormat="1" applyFill="1"/>
    <xf numFmtId="0" fontId="8" fillId="2" borderId="0" xfId="0" applyFont="1" applyFill="1"/>
    <xf numFmtId="43" fontId="8" fillId="2" borderId="0" xfId="0" applyNumberFormat="1" applyFont="1" applyFill="1"/>
    <xf numFmtId="0" fontId="0" fillId="2" borderId="0" xfId="0" applyFill="1"/>
    <xf numFmtId="43" fontId="4" fillId="2" borderId="0" xfId="2" applyFont="1" applyFill="1"/>
    <xf numFmtId="43" fontId="4" fillId="2" borderId="0" xfId="2" applyFont="1" applyFill="1" applyBorder="1"/>
    <xf numFmtId="43" fontId="8" fillId="2" borderId="0" xfId="2" applyFont="1" applyFill="1"/>
    <xf numFmtId="17" fontId="0" fillId="0" borderId="0" xfId="0" applyNumberFormat="1"/>
    <xf numFmtId="43" fontId="19" fillId="2" borderId="38" xfId="2" applyFont="1" applyFill="1" applyBorder="1"/>
    <xf numFmtId="0" fontId="8" fillId="5" borderId="0" xfId="0" applyFont="1" applyFill="1"/>
    <xf numFmtId="4" fontId="19" fillId="2" borderId="0" xfId="0" applyNumberFormat="1" applyFont="1" applyFill="1" applyBorder="1" applyAlignment="1">
      <alignment horizontal="right"/>
    </xf>
    <xf numFmtId="4" fontId="19" fillId="2" borderId="0" xfId="0" applyNumberFormat="1" applyFont="1" applyFill="1" applyBorder="1"/>
    <xf numFmtId="4" fontId="20" fillId="2" borderId="0" xfId="0" applyNumberFormat="1" applyFont="1" applyFill="1" applyAlignment="1">
      <alignment horizontal="center"/>
    </xf>
    <xf numFmtId="0" fontId="0" fillId="6" borderId="0" xfId="0" applyFill="1"/>
    <xf numFmtId="0" fontId="5" fillId="6" borderId="0" xfId="0" applyFont="1" applyFill="1"/>
    <xf numFmtId="0" fontId="8" fillId="6" borderId="0" xfId="0" applyFont="1" applyFill="1"/>
    <xf numFmtId="4" fontId="8" fillId="2" borderId="0" xfId="0" applyNumberFormat="1" applyFont="1" applyFill="1"/>
    <xf numFmtId="4" fontId="5" fillId="2" borderId="0" xfId="0" applyNumberFormat="1" applyFont="1" applyFill="1"/>
    <xf numFmtId="4" fontId="0" fillId="2" borderId="0" xfId="0" applyNumberFormat="1" applyFill="1"/>
    <xf numFmtId="43" fontId="8" fillId="2" borderId="0" xfId="2" applyFont="1" applyFill="1" applyBorder="1"/>
    <xf numFmtId="43" fontId="12" fillId="2" borderId="0" xfId="2" applyFont="1" applyFill="1"/>
    <xf numFmtId="43" fontId="0" fillId="0" borderId="0" xfId="0" applyNumberFormat="1" applyBorder="1"/>
    <xf numFmtId="43" fontId="19" fillId="2" borderId="0" xfId="2" applyFont="1" applyFill="1" applyBorder="1"/>
    <xf numFmtId="43" fontId="20" fillId="2" borderId="0" xfId="2" applyFont="1" applyFill="1" applyBorder="1"/>
    <xf numFmtId="43" fontId="20" fillId="2" borderId="38" xfId="2" applyFont="1" applyFill="1" applyBorder="1"/>
    <xf numFmtId="4" fontId="19" fillId="2" borderId="38" xfId="0" applyNumberFormat="1" applyFont="1" applyFill="1" applyBorder="1" applyAlignment="1">
      <alignment horizontal="center"/>
    </xf>
    <xf numFmtId="43" fontId="19" fillId="2" borderId="38" xfId="2" applyFont="1" applyFill="1" applyBorder="1" applyAlignment="1">
      <alignment horizontal="center"/>
    </xf>
    <xf numFmtId="43" fontId="19" fillId="2" borderId="0" xfId="2" applyFont="1" applyFill="1" applyBorder="1" applyAlignment="1">
      <alignment horizontal="center"/>
    </xf>
    <xf numFmtId="43" fontId="19" fillId="2" borderId="19" xfId="2" applyFont="1" applyFill="1" applyBorder="1"/>
    <xf numFmtId="43" fontId="19" fillId="2" borderId="15" xfId="2" applyFont="1" applyFill="1" applyBorder="1"/>
    <xf numFmtId="43" fontId="20" fillId="5" borderId="38" xfId="2" applyFont="1" applyFill="1" applyBorder="1"/>
    <xf numFmtId="43" fontId="20" fillId="5" borderId="0" xfId="2" applyFont="1" applyFill="1" applyBorder="1"/>
    <xf numFmtId="43" fontId="20" fillId="2" borderId="38" xfId="2" applyFont="1" applyFill="1" applyBorder="1" applyAlignment="1">
      <alignment horizontal="center"/>
    </xf>
    <xf numFmtId="43" fontId="20" fillId="2" borderId="0" xfId="2" applyFont="1" applyFill="1" applyBorder="1" applyAlignment="1">
      <alignment horizontal="center"/>
    </xf>
    <xf numFmtId="43" fontId="19" fillId="2" borderId="39" xfId="2" applyFont="1" applyFill="1" applyBorder="1"/>
    <xf numFmtId="43" fontId="19" fillId="2" borderId="5" xfId="2" applyFont="1" applyFill="1" applyBorder="1"/>
    <xf numFmtId="0" fontId="22" fillId="5" borderId="38" xfId="0" applyFont="1" applyFill="1" applyBorder="1" applyAlignment="1">
      <alignment vertical="center"/>
    </xf>
    <xf numFmtId="43" fontId="19" fillId="5" borderId="1" xfId="2" applyFont="1" applyFill="1" applyBorder="1"/>
    <xf numFmtId="0" fontId="2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2" fillId="0" borderId="38" xfId="0" applyFont="1" applyFill="1" applyBorder="1" applyAlignment="1">
      <alignment horizontal="center" vertical="center"/>
    </xf>
    <xf numFmtId="43" fontId="20" fillId="5" borderId="0" xfId="2" applyFont="1" applyFill="1" applyBorder="1" applyAlignment="1">
      <alignment horizontal="center"/>
    </xf>
    <xf numFmtId="43" fontId="20" fillId="5" borderId="38" xfId="2" applyFont="1" applyFill="1" applyBorder="1" applyAlignment="1">
      <alignment horizontal="center"/>
    </xf>
    <xf numFmtId="0" fontId="23" fillId="5" borderId="38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43" fontId="19" fillId="5" borderId="0" xfId="2" applyFont="1" applyFill="1" applyBorder="1" applyAlignment="1">
      <alignment horizontal="center"/>
    </xf>
    <xf numFmtId="0" fontId="22" fillId="5" borderId="0" xfId="0" applyFont="1" applyFill="1" applyBorder="1" applyAlignment="1">
      <alignment vertical="center"/>
    </xf>
    <xf numFmtId="43" fontId="10" fillId="5" borderId="38" xfId="0" applyNumberFormat="1" applyFont="1" applyFill="1" applyBorder="1"/>
    <xf numFmtId="43" fontId="10" fillId="5" borderId="0" xfId="0" applyNumberFormat="1" applyFont="1" applyFill="1" applyBorder="1"/>
    <xf numFmtId="0" fontId="22" fillId="5" borderId="20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0" fillId="5" borderId="38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0" fillId="5" borderId="38" xfId="0" applyFont="1" applyFill="1" applyBorder="1"/>
    <xf numFmtId="0" fontId="20" fillId="5" borderId="0" xfId="0" applyFont="1" applyFill="1" applyBorder="1"/>
    <xf numFmtId="0" fontId="20" fillId="5" borderId="1" xfId="0" applyFont="1" applyFill="1" applyBorder="1"/>
    <xf numFmtId="43" fontId="19" fillId="5" borderId="0" xfId="2" applyFont="1" applyFill="1" applyBorder="1"/>
    <xf numFmtId="43" fontId="20" fillId="2" borderId="0" xfId="2" applyFont="1" applyFill="1" applyBorder="1" applyAlignment="1">
      <alignment vertical="center"/>
    </xf>
    <xf numFmtId="43" fontId="20" fillId="2" borderId="38" xfId="2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left"/>
    </xf>
    <xf numFmtId="0" fontId="19" fillId="0" borderId="38" xfId="0" applyFont="1" applyFill="1" applyBorder="1" applyAlignment="1"/>
    <xf numFmtId="0" fontId="26" fillId="5" borderId="38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5" fillId="5" borderId="38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43" fontId="11" fillId="7" borderId="0" xfId="2" applyFont="1" applyFill="1"/>
    <xf numFmtId="43" fontId="8" fillId="0" borderId="0" xfId="0" applyNumberFormat="1" applyFont="1" applyFill="1"/>
    <xf numFmtId="43" fontId="8" fillId="3" borderId="0" xfId="0" applyNumberFormat="1" applyFont="1" applyFill="1"/>
    <xf numFmtId="43" fontId="0" fillId="3" borderId="0" xfId="0" applyNumberFormat="1" applyFill="1"/>
    <xf numFmtId="43" fontId="4" fillId="3" borderId="0" xfId="2" applyFont="1" applyFill="1"/>
    <xf numFmtId="43" fontId="4" fillId="3" borderId="0" xfId="2" applyFont="1" applyFill="1" applyBorder="1"/>
    <xf numFmtId="0" fontId="8" fillId="0" borderId="0" xfId="0" applyFont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8" fillId="2" borderId="38" xfId="0" applyFont="1" applyFill="1" applyBorder="1" applyAlignment="1"/>
    <xf numFmtId="43" fontId="8" fillId="2" borderId="0" xfId="2" applyFont="1" applyFill="1" applyBorder="1" applyAlignment="1"/>
    <xf numFmtId="43" fontId="8" fillId="2" borderId="38" xfId="2" applyFont="1" applyFill="1" applyBorder="1"/>
    <xf numFmtId="43" fontId="8" fillId="0" borderId="38" xfId="2" applyFont="1" applyFill="1" applyBorder="1"/>
    <xf numFmtId="43" fontId="8" fillId="2" borderId="38" xfId="2" applyFont="1" applyFill="1" applyBorder="1" applyAlignment="1"/>
    <xf numFmtId="0" fontId="5" fillId="2" borderId="37" xfId="0" applyFont="1" applyFill="1" applyBorder="1"/>
    <xf numFmtId="43" fontId="5" fillId="2" borderId="35" xfId="2" applyFont="1" applyFill="1" applyBorder="1"/>
    <xf numFmtId="43" fontId="5" fillId="2" borderId="37" xfId="2" applyFont="1" applyFill="1" applyBorder="1"/>
    <xf numFmtId="43" fontId="5" fillId="0" borderId="37" xfId="2" applyFont="1" applyFill="1" applyBorder="1"/>
    <xf numFmtId="43" fontId="5" fillId="2" borderId="0" xfId="2" applyFont="1" applyFill="1" applyBorder="1"/>
    <xf numFmtId="43" fontId="5" fillId="2" borderId="38" xfId="2" applyFont="1" applyFill="1" applyBorder="1"/>
    <xf numFmtId="0" fontId="8" fillId="2" borderId="38" xfId="0" applyFont="1" applyFill="1" applyBorder="1"/>
    <xf numFmtId="0" fontId="8" fillId="2" borderId="39" xfId="0" applyFont="1" applyFill="1" applyBorder="1"/>
    <xf numFmtId="43" fontId="8" fillId="2" borderId="39" xfId="2" applyFont="1" applyFill="1" applyBorder="1"/>
    <xf numFmtId="0" fontId="5" fillId="0" borderId="37" xfId="0" applyFont="1" applyFill="1" applyBorder="1"/>
    <xf numFmtId="43" fontId="5" fillId="0" borderId="35" xfId="2" applyFont="1" applyFill="1" applyBorder="1"/>
    <xf numFmtId="43" fontId="8" fillId="0" borderId="0" xfId="0" applyNumberFormat="1" applyFont="1" applyBorder="1" applyAlignment="1">
      <alignment horizontal="center"/>
    </xf>
    <xf numFmtId="4" fontId="8" fillId="8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43" fontId="2" fillId="0" borderId="0" xfId="2" applyFont="1" applyBorder="1" applyAlignment="1"/>
    <xf numFmtId="43" fontId="2" fillId="0" borderId="0" xfId="2" applyFont="1"/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2" applyFont="1"/>
    <xf numFmtId="43" fontId="4" fillId="0" borderId="0" xfId="0" applyNumberFormat="1" applyFont="1" applyBorder="1" applyAlignment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/>
    <xf numFmtId="0" fontId="5" fillId="0" borderId="51" xfId="0" applyFont="1" applyBorder="1" applyAlignment="1">
      <alignment horizontal="center"/>
    </xf>
    <xf numFmtId="0" fontId="8" fillId="0" borderId="1" xfId="0" applyFont="1" applyBorder="1" applyAlignment="1"/>
    <xf numFmtId="43" fontId="8" fillId="0" borderId="38" xfId="2" applyFont="1" applyFill="1" applyBorder="1" applyAlignment="1"/>
    <xf numFmtId="0" fontId="8" fillId="0" borderId="1" xfId="0" applyFont="1" applyFill="1" applyBorder="1" applyAlignment="1"/>
    <xf numFmtId="43" fontId="8" fillId="2" borderId="38" xfId="2" quotePrefix="1" applyFont="1" applyFill="1" applyBorder="1" applyAlignment="1"/>
    <xf numFmtId="0" fontId="5" fillId="0" borderId="1" xfId="0" applyFont="1" applyFill="1" applyBorder="1" applyAlignment="1"/>
    <xf numFmtId="43" fontId="5" fillId="2" borderId="38" xfId="2" applyFont="1" applyFill="1" applyBorder="1" applyAlignment="1"/>
    <xf numFmtId="43" fontId="5" fillId="0" borderId="0" xfId="0" applyNumberFormat="1" applyFont="1"/>
    <xf numFmtId="43" fontId="5" fillId="0" borderId="38" xfId="2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/>
    <xf numFmtId="43" fontId="8" fillId="2" borderId="39" xfId="2" applyFont="1" applyFill="1" applyBorder="1" applyAlignment="1"/>
    <xf numFmtId="0" fontId="5" fillId="0" borderId="57" xfId="0" applyFont="1" applyFill="1" applyBorder="1" applyAlignment="1"/>
    <xf numFmtId="43" fontId="5" fillId="0" borderId="37" xfId="2" applyFont="1" applyFill="1" applyBorder="1" applyAlignment="1"/>
    <xf numFmtId="0" fontId="8" fillId="0" borderId="0" xfId="0" applyFont="1" applyFill="1" applyBorder="1" applyAlignment="1"/>
    <xf numFmtId="43" fontId="8" fillId="0" borderId="0" xfId="2" applyFont="1" applyBorder="1" applyAlignment="1"/>
    <xf numFmtId="43" fontId="8" fillId="0" borderId="0" xfId="2" applyFont="1"/>
    <xf numFmtId="43" fontId="8" fillId="0" borderId="0" xfId="0" applyNumberFormat="1" applyFont="1" applyAlignment="1">
      <alignment horizontal="center"/>
    </xf>
    <xf numFmtId="43" fontId="20" fillId="2" borderId="38" xfId="0" applyNumberFormat="1" applyFont="1" applyFill="1" applyBorder="1"/>
    <xf numFmtId="43" fontId="19" fillId="2" borderId="0" xfId="0" applyNumberFormat="1" applyFont="1" applyFill="1" applyBorder="1"/>
    <xf numFmtId="4" fontId="20" fillId="2" borderId="0" xfId="0" applyNumberFormat="1" applyFont="1" applyFill="1" applyBorder="1"/>
    <xf numFmtId="0" fontId="25" fillId="2" borderId="0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43" fontId="19" fillId="2" borderId="1" xfId="2" applyFont="1" applyFill="1" applyBorder="1"/>
    <xf numFmtId="0" fontId="5" fillId="2" borderId="1" xfId="0" applyFont="1" applyFill="1" applyBorder="1" applyAlignment="1"/>
    <xf numFmtId="0" fontId="2" fillId="0" borderId="1" xfId="0" applyFont="1" applyFill="1" applyBorder="1" applyAlignment="1"/>
    <xf numFmtId="0" fontId="8" fillId="0" borderId="38" xfId="0" applyFont="1" applyBorder="1"/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/>
    <xf numFmtId="43" fontId="8" fillId="0" borderId="0" xfId="2" applyFont="1" applyFill="1" applyBorder="1" applyAlignment="1"/>
    <xf numFmtId="43" fontId="5" fillId="2" borderId="0" xfId="2" applyFont="1" applyFill="1" applyBorder="1" applyAlignment="1"/>
    <xf numFmtId="0" fontId="5" fillId="0" borderId="37" xfId="0" applyFont="1" applyBorder="1" applyAlignment="1">
      <alignment horizontal="center"/>
    </xf>
    <xf numFmtId="165" fontId="5" fillId="2" borderId="19" xfId="0" applyNumberFormat="1" applyFont="1" applyFill="1" applyBorder="1" applyAlignment="1">
      <alignment horizontal="center"/>
    </xf>
    <xf numFmtId="43" fontId="3" fillId="2" borderId="38" xfId="2" applyFont="1" applyFill="1" applyBorder="1" applyAlignment="1">
      <alignment horizontal="center"/>
    </xf>
    <xf numFmtId="43" fontId="4" fillId="2" borderId="38" xfId="2" applyFont="1" applyFill="1" applyBorder="1" applyAlignment="1">
      <alignment horizontal="center"/>
    </xf>
    <xf numFmtId="43" fontId="3" fillId="2" borderId="38" xfId="2" applyFont="1" applyFill="1" applyBorder="1"/>
    <xf numFmtId="0" fontId="0" fillId="2" borderId="38" xfId="0" applyFill="1" applyBorder="1"/>
    <xf numFmtId="43" fontId="4" fillId="2" borderId="38" xfId="2" applyFont="1" applyFill="1" applyBorder="1"/>
    <xf numFmtId="43" fontId="10" fillId="2" borderId="16" xfId="2" applyFont="1" applyFill="1" applyBorder="1"/>
    <xf numFmtId="43" fontId="11" fillId="2" borderId="0" xfId="2" applyFont="1" applyFill="1"/>
    <xf numFmtId="43" fontId="11" fillId="2" borderId="0" xfId="0" applyNumberFormat="1" applyFont="1" applyFill="1" applyBorder="1" applyAlignment="1">
      <alignment horizontal="center"/>
    </xf>
    <xf numFmtId="43" fontId="21" fillId="2" borderId="0" xfId="0" applyNumberFormat="1" applyFont="1" applyFill="1" applyAlignment="1">
      <alignment horizontal="center"/>
    </xf>
    <xf numFmtId="43" fontId="11" fillId="2" borderId="0" xfId="2" applyFont="1" applyFill="1" applyBorder="1" applyAlignment="1">
      <alignment horizontal="center"/>
    </xf>
    <xf numFmtId="0" fontId="22" fillId="2" borderId="3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0" fillId="2" borderId="38" xfId="0" applyFont="1" applyFill="1" applyBorder="1"/>
    <xf numFmtId="0" fontId="20" fillId="2" borderId="0" xfId="0" applyFont="1" applyFill="1" applyBorder="1"/>
    <xf numFmtId="0" fontId="20" fillId="2" borderId="1" xfId="0" applyFont="1" applyFill="1" applyBorder="1"/>
    <xf numFmtId="43" fontId="10" fillId="2" borderId="38" xfId="0" applyNumberFormat="1" applyFont="1" applyFill="1" applyBorder="1"/>
    <xf numFmtId="43" fontId="10" fillId="2" borderId="0" xfId="0" applyNumberFormat="1" applyFont="1" applyFill="1" applyBorder="1"/>
    <xf numFmtId="43" fontId="20" fillId="0" borderId="55" xfId="2" applyFont="1" applyFill="1" applyBorder="1" applyAlignment="1">
      <alignment horizontal="center"/>
    </xf>
    <xf numFmtId="43" fontId="19" fillId="0" borderId="20" xfId="2" applyFont="1" applyFill="1" applyBorder="1"/>
    <xf numFmtId="43" fontId="20" fillId="2" borderId="20" xfId="2" applyFont="1" applyFill="1" applyBorder="1"/>
    <xf numFmtId="43" fontId="19" fillId="0" borderId="24" xfId="2" applyFont="1" applyFill="1" applyBorder="1"/>
    <xf numFmtId="43" fontId="20" fillId="0" borderId="52" xfId="2" applyNumberFormat="1" applyFont="1" applyFill="1" applyBorder="1"/>
    <xf numFmtId="0" fontId="20" fillId="2" borderId="19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165" fontId="20" fillId="2" borderId="15" xfId="0" applyNumberFormat="1" applyFont="1" applyFill="1" applyBorder="1" applyAlignment="1">
      <alignment horizontal="center"/>
    </xf>
    <xf numFmtId="165" fontId="20" fillId="2" borderId="19" xfId="0" applyNumberFormat="1" applyFont="1" applyFill="1" applyBorder="1" applyAlignment="1">
      <alignment horizontal="center"/>
    </xf>
    <xf numFmtId="43" fontId="20" fillId="2" borderId="19" xfId="2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165" fontId="20" fillId="2" borderId="0" xfId="0" applyNumberFormat="1" applyFont="1" applyFill="1" applyBorder="1" applyAlignment="1">
      <alignment horizontal="center"/>
    </xf>
    <xf numFmtId="165" fontId="20" fillId="2" borderId="38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38" xfId="0" applyFont="1" applyFill="1" applyBorder="1" applyAlignment="1">
      <alignment horizontal="left"/>
    </xf>
    <xf numFmtId="0" fontId="20" fillId="2" borderId="38" xfId="0" applyFont="1" applyFill="1" applyBorder="1" applyAlignment="1">
      <alignment horizontal="left"/>
    </xf>
    <xf numFmtId="0" fontId="19" fillId="2" borderId="38" xfId="0" applyFont="1" applyFill="1" applyBorder="1" applyAlignment="1"/>
    <xf numFmtId="0" fontId="23" fillId="2" borderId="38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6" fillId="2" borderId="38" xfId="0" applyFont="1" applyFill="1" applyBorder="1" applyAlignment="1">
      <alignment vertical="center"/>
    </xf>
    <xf numFmtId="0" fontId="19" fillId="2" borderId="19" xfId="0" applyFont="1" applyFill="1" applyBorder="1"/>
    <xf numFmtId="0" fontId="19" fillId="2" borderId="15" xfId="0" applyFont="1" applyFill="1" applyBorder="1"/>
    <xf numFmtId="0" fontId="19" fillId="2" borderId="55" xfId="0" applyFont="1" applyFill="1" applyBorder="1"/>
    <xf numFmtId="0" fontId="19" fillId="2" borderId="40" xfId="0" applyFont="1" applyFill="1" applyBorder="1"/>
    <xf numFmtId="0" fontId="19" fillId="2" borderId="38" xfId="0" applyFont="1" applyFill="1" applyBorder="1"/>
    <xf numFmtId="0" fontId="22" fillId="2" borderId="20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3" fillId="2" borderId="20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19" fillId="2" borderId="39" xfId="0" applyFont="1" applyFill="1" applyBorder="1" applyAlignment="1">
      <alignment horizontal="center"/>
    </xf>
    <xf numFmtId="0" fontId="23" fillId="2" borderId="5" xfId="0" applyFont="1" applyFill="1" applyBorder="1" applyAlignment="1">
      <alignment vertical="center"/>
    </xf>
    <xf numFmtId="0" fontId="23" fillId="2" borderId="39" xfId="0" applyFont="1" applyFill="1" applyBorder="1" applyAlignment="1">
      <alignment vertical="center"/>
    </xf>
    <xf numFmtId="0" fontId="23" fillId="2" borderId="33" xfId="0" applyFont="1" applyFill="1" applyBorder="1" applyAlignment="1">
      <alignment vertical="center"/>
    </xf>
    <xf numFmtId="0" fontId="19" fillId="2" borderId="19" xfId="0" applyFont="1" applyFill="1" applyBorder="1" applyAlignment="1">
      <alignment horizontal="center"/>
    </xf>
    <xf numFmtId="0" fontId="22" fillId="2" borderId="19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43" fontId="19" fillId="2" borderId="40" xfId="2" applyFont="1" applyFill="1" applyBorder="1"/>
    <xf numFmtId="43" fontId="20" fillId="2" borderId="19" xfId="2" applyFont="1" applyFill="1" applyBorder="1"/>
    <xf numFmtId="43" fontId="20" fillId="2" borderId="1" xfId="2" applyFont="1" applyFill="1" applyBorder="1"/>
    <xf numFmtId="0" fontId="25" fillId="2" borderId="38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2" fillId="2" borderId="40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43" fontId="22" fillId="2" borderId="0" xfId="2" applyFont="1" applyFill="1" applyBorder="1" applyAlignment="1">
      <alignment horizontal="left" vertical="center" wrapText="1"/>
    </xf>
    <xf numFmtId="43" fontId="22" fillId="2" borderId="55" xfId="2" applyFont="1" applyFill="1" applyBorder="1" applyAlignment="1">
      <alignment horizontal="left" vertical="center" wrapText="1"/>
    </xf>
    <xf numFmtId="0" fontId="22" fillId="2" borderId="20" xfId="0" applyFont="1" applyFill="1" applyBorder="1" applyAlignment="1">
      <alignment vertical="center" wrapText="1"/>
    </xf>
    <xf numFmtId="0" fontId="27" fillId="2" borderId="20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43" fontId="19" fillId="2" borderId="1" xfId="2" applyFont="1" applyFill="1" applyBorder="1" applyAlignment="1">
      <alignment horizontal="center"/>
    </xf>
    <xf numFmtId="43" fontId="20" fillId="2" borderId="40" xfId="2" applyFont="1" applyFill="1" applyBorder="1"/>
    <xf numFmtId="0" fontId="10" fillId="2" borderId="38" xfId="0" applyFont="1" applyFill="1" applyBorder="1" applyAlignment="1">
      <alignment horizontal="center"/>
    </xf>
    <xf numFmtId="0" fontId="0" fillId="0" borderId="35" xfId="0" applyBorder="1"/>
    <xf numFmtId="0" fontId="19" fillId="0" borderId="40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23" fillId="2" borderId="15" xfId="0" applyFont="1" applyFill="1" applyBorder="1" applyAlignment="1">
      <alignment vertical="center"/>
    </xf>
    <xf numFmtId="43" fontId="19" fillId="2" borderId="55" xfId="2" applyFont="1" applyFill="1" applyBorder="1"/>
    <xf numFmtId="0" fontId="19" fillId="2" borderId="5" xfId="0" applyFont="1" applyFill="1" applyBorder="1" applyAlignment="1">
      <alignment horizontal="center"/>
    </xf>
    <xf numFmtId="43" fontId="19" fillId="2" borderId="24" xfId="2" applyFont="1" applyFill="1" applyBorder="1"/>
    <xf numFmtId="0" fontId="10" fillId="0" borderId="25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45" xfId="0" applyFont="1" applyBorder="1"/>
    <xf numFmtId="43" fontId="11" fillId="0" borderId="45" xfId="2" applyFont="1" applyBorder="1"/>
    <xf numFmtId="0" fontId="4" fillId="0" borderId="49" xfId="0" applyFont="1" applyBorder="1"/>
    <xf numFmtId="43" fontId="11" fillId="0" borderId="49" xfId="2" applyFont="1" applyFill="1" applyBorder="1"/>
    <xf numFmtId="0" fontId="3" fillId="0" borderId="37" xfId="0" applyFont="1" applyBorder="1"/>
    <xf numFmtId="4" fontId="14" fillId="0" borderId="0" xfId="0" applyNumberFormat="1" applyFont="1" applyFill="1" applyBorder="1"/>
    <xf numFmtId="43" fontId="8" fillId="2" borderId="7" xfId="2" applyFont="1" applyFill="1" applyBorder="1"/>
    <xf numFmtId="43" fontId="8" fillId="2" borderId="0" xfId="2" applyFont="1" applyFill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43" fontId="1" fillId="2" borderId="38" xfId="2" applyFont="1" applyFill="1" applyBorder="1"/>
    <xf numFmtId="0" fontId="20" fillId="0" borderId="0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165" fontId="10" fillId="0" borderId="61" xfId="0" applyNumberFormat="1" applyFont="1" applyFill="1" applyBorder="1" applyAlignment="1">
      <alignment horizontal="center"/>
    </xf>
    <xf numFmtId="165" fontId="10" fillId="0" borderId="31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6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165" fontId="10" fillId="0" borderId="34" xfId="0" applyNumberFormat="1" applyFont="1" applyFill="1" applyBorder="1" applyAlignment="1">
      <alignment horizontal="center"/>
    </xf>
    <xf numFmtId="165" fontId="10" fillId="0" borderId="33" xfId="0" applyNumberFormat="1" applyFont="1" applyFill="1" applyBorder="1" applyAlignment="1">
      <alignment horizontal="center"/>
    </xf>
    <xf numFmtId="165" fontId="10" fillId="0" borderId="59" xfId="0" applyNumberFormat="1" applyFont="1" applyFill="1" applyBorder="1" applyAlignment="1">
      <alignment horizontal="center"/>
    </xf>
    <xf numFmtId="165" fontId="10" fillId="0" borderId="60" xfId="0" applyNumberFormat="1" applyFont="1" applyFill="1" applyBorder="1" applyAlignment="1">
      <alignment horizontal="center"/>
    </xf>
    <xf numFmtId="0" fontId="20" fillId="0" borderId="57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165" fontId="11" fillId="0" borderId="57" xfId="0" applyNumberFormat="1" applyFont="1" applyFill="1" applyBorder="1" applyAlignment="1">
      <alignment horizontal="center"/>
    </xf>
    <xf numFmtId="165" fontId="11" fillId="0" borderId="35" xfId="0" applyNumberFormat="1" applyFont="1" applyFill="1" applyBorder="1" applyAlignment="1">
      <alignment horizontal="center"/>
    </xf>
    <xf numFmtId="165" fontId="11" fillId="0" borderId="5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66" xfId="0" applyFont="1" applyFill="1" applyBorder="1" applyAlignment="1">
      <alignment horizontal="center"/>
    </xf>
    <xf numFmtId="0" fontId="10" fillId="0" borderId="67" xfId="0" applyFont="1" applyFill="1" applyBorder="1" applyAlignment="1">
      <alignment horizontal="center"/>
    </xf>
    <xf numFmtId="0" fontId="10" fillId="0" borderId="68" xfId="0" applyFont="1" applyFill="1" applyBorder="1" applyAlignment="1">
      <alignment horizontal="center"/>
    </xf>
    <xf numFmtId="165" fontId="10" fillId="0" borderId="69" xfId="0" applyNumberFormat="1" applyFont="1" applyFill="1" applyBorder="1" applyAlignment="1">
      <alignment horizontal="center"/>
    </xf>
    <xf numFmtId="165" fontId="10" fillId="0" borderId="27" xfId="0" applyNumberFormat="1" applyFont="1" applyFill="1" applyBorder="1" applyAlignment="1">
      <alignment horizontal="center"/>
    </xf>
    <xf numFmtId="165" fontId="10" fillId="0" borderId="50" xfId="0" applyNumberFormat="1" applyFont="1" applyFill="1" applyBorder="1" applyAlignment="1">
      <alignment horizontal="center"/>
    </xf>
    <xf numFmtId="0" fontId="10" fillId="0" borderId="70" xfId="0" applyFont="1" applyFill="1" applyBorder="1" applyAlignment="1">
      <alignment horizontal="center"/>
    </xf>
    <xf numFmtId="0" fontId="10" fillId="0" borderId="71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65" fontId="10" fillId="0" borderId="29" xfId="0" applyNumberFormat="1" applyFont="1" applyFill="1" applyBorder="1" applyAlignment="1">
      <alignment horizontal="center"/>
    </xf>
    <xf numFmtId="165" fontId="10" fillId="0" borderId="48" xfId="0" applyNumberFormat="1" applyFont="1" applyFill="1" applyBorder="1" applyAlignment="1">
      <alignment horizontal="center"/>
    </xf>
    <xf numFmtId="165" fontId="10" fillId="0" borderId="21" xfId="0" applyNumberFormat="1" applyFont="1" applyFill="1" applyBorder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165" fontId="10" fillId="0" borderId="30" xfId="0" applyNumberFormat="1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165" fontId="20" fillId="0" borderId="72" xfId="0" applyNumberFormat="1" applyFont="1" applyFill="1" applyBorder="1" applyAlignment="1">
      <alignment horizontal="center"/>
    </xf>
    <xf numFmtId="165" fontId="20" fillId="0" borderId="42" xfId="0" applyNumberFormat="1" applyFont="1" applyFill="1" applyBorder="1" applyAlignment="1">
      <alignment horizontal="center"/>
    </xf>
    <xf numFmtId="165" fontId="20" fillId="0" borderId="43" xfId="0" applyNumberFormat="1" applyFont="1" applyFill="1" applyBorder="1" applyAlignment="1">
      <alignment horizontal="center"/>
    </xf>
    <xf numFmtId="0" fontId="20" fillId="0" borderId="73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20" fillId="0" borderId="74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165" fontId="19" fillId="0" borderId="57" xfId="0" applyNumberFormat="1" applyFont="1" applyFill="1" applyBorder="1" applyAlignment="1">
      <alignment horizontal="center"/>
    </xf>
    <xf numFmtId="165" fontId="19" fillId="0" borderId="35" xfId="0" applyNumberFormat="1" applyFont="1" applyFill="1" applyBorder="1" applyAlignment="1">
      <alignment horizontal="center"/>
    </xf>
    <xf numFmtId="165" fontId="19" fillId="0" borderId="52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5" fontId="5" fillId="0" borderId="69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5" fontId="5" fillId="0" borderId="50" xfId="0" applyNumberFormat="1" applyFont="1" applyBorder="1" applyAlignment="1">
      <alignment horizont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1"/>
  <sheetViews>
    <sheetView topLeftCell="G249" workbookViewId="0">
      <selection activeCell="T251" sqref="T251"/>
    </sheetView>
  </sheetViews>
  <sheetFormatPr baseColWidth="10" defaultColWidth="9.140625" defaultRowHeight="12.75" x14ac:dyDescent="0.2"/>
  <cols>
    <col min="1" max="1" width="5.5703125" customWidth="1"/>
    <col min="2" max="2" width="6.140625" customWidth="1"/>
    <col min="3" max="3" width="6.28515625" customWidth="1"/>
    <col min="4" max="4" width="4.7109375" customWidth="1"/>
    <col min="5" max="5" width="12" customWidth="1"/>
    <col min="6" max="6" width="7.5703125" customWidth="1"/>
    <col min="7" max="7" width="6.7109375" bestFit="1" customWidth="1"/>
    <col min="8" max="8" width="4" customWidth="1"/>
    <col min="9" max="11" width="3.7109375" customWidth="1"/>
    <col min="12" max="13" width="5" customWidth="1"/>
    <col min="14" max="14" width="63" customWidth="1"/>
    <col min="15" max="15" width="17" customWidth="1"/>
    <col min="16" max="16" width="18.7109375" customWidth="1"/>
    <col min="17" max="17" width="18.140625" bestFit="1" customWidth="1"/>
    <col min="18" max="18" width="15.140625" customWidth="1"/>
    <col min="19" max="19" width="13.7109375" customWidth="1"/>
    <col min="20" max="20" width="16" bestFit="1" customWidth="1"/>
    <col min="21" max="256" width="11.42578125" customWidth="1"/>
  </cols>
  <sheetData>
    <row r="1" spans="1:17" ht="17.25" thickBot="1" x14ac:dyDescent="0.3">
      <c r="A1" s="585">
        <v>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7"/>
    </row>
    <row r="2" spans="1:17" ht="15.75" x14ac:dyDescent="0.25">
      <c r="A2" s="568" t="s">
        <v>0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70"/>
    </row>
    <row r="3" spans="1:17" ht="15" x14ac:dyDescent="0.2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63" t="s">
        <v>1</v>
      </c>
    </row>
    <row r="4" spans="1:17" ht="15.75" x14ac:dyDescent="0.25">
      <c r="A4" s="64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/>
      <c r="P4" s="66" t="s">
        <v>3</v>
      </c>
      <c r="Q4" s="67"/>
    </row>
    <row r="5" spans="1:17" ht="15.75" x14ac:dyDescent="0.25">
      <c r="A5" s="64" t="s">
        <v>4</v>
      </c>
      <c r="B5" s="61"/>
      <c r="C5" s="61">
        <v>5120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8"/>
      <c r="P5" s="69" t="s">
        <v>5</v>
      </c>
      <c r="Q5" s="70"/>
    </row>
    <row r="6" spans="1:17" ht="15.75" x14ac:dyDescent="0.25">
      <c r="A6" s="64" t="s">
        <v>6</v>
      </c>
      <c r="B6" s="68"/>
      <c r="C6" s="68" t="s">
        <v>7</v>
      </c>
      <c r="D6" s="68"/>
      <c r="E6" s="68"/>
      <c r="F6" s="61"/>
      <c r="G6" s="61"/>
      <c r="H6" s="61"/>
      <c r="I6" s="61"/>
      <c r="J6" s="61"/>
      <c r="K6" s="61"/>
      <c r="L6" s="61"/>
      <c r="M6" s="61"/>
      <c r="N6" s="61"/>
      <c r="O6" s="68"/>
      <c r="P6" s="69" t="s">
        <v>8</v>
      </c>
      <c r="Q6" s="70"/>
    </row>
    <row r="7" spans="1:17" ht="15.75" x14ac:dyDescent="0.25">
      <c r="A7" s="64" t="s">
        <v>9</v>
      </c>
      <c r="B7" s="68">
        <v>2016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8"/>
      <c r="P7" s="71" t="s">
        <v>10</v>
      </c>
      <c r="Q7" s="72"/>
    </row>
    <row r="8" spans="1:17" ht="16.5" thickBot="1" x14ac:dyDescent="0.3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Q8" s="76"/>
    </row>
    <row r="9" spans="1:17" ht="15.75" x14ac:dyDescent="0.25">
      <c r="A9" s="550" t="s">
        <v>11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2"/>
      <c r="M9" s="493"/>
      <c r="N9" s="493"/>
      <c r="O9" s="553" t="s">
        <v>12</v>
      </c>
      <c r="P9" s="551"/>
      <c r="Q9" s="554"/>
    </row>
    <row r="10" spans="1:17" ht="15.75" x14ac:dyDescent="0.25">
      <c r="A10" s="501"/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5"/>
      <c r="M10" s="502"/>
      <c r="N10" s="502"/>
      <c r="O10" s="77"/>
      <c r="P10" s="502"/>
      <c r="Q10" s="503"/>
    </row>
    <row r="11" spans="1:17" ht="15.75" x14ac:dyDescent="0.25">
      <c r="A11" s="555">
        <v>2</v>
      </c>
      <c r="B11" s="556"/>
      <c r="C11" s="556"/>
      <c r="D11" s="556"/>
      <c r="E11" s="556"/>
      <c r="F11" s="556"/>
      <c r="G11" s="557"/>
      <c r="H11" s="78" t="s">
        <v>13</v>
      </c>
      <c r="I11" s="79"/>
      <c r="J11" s="79"/>
      <c r="K11" s="79"/>
      <c r="L11" s="79"/>
      <c r="M11" s="79"/>
      <c r="N11" s="79"/>
      <c r="O11" s="80" t="s">
        <v>14</v>
      </c>
      <c r="P11" s="80" t="s">
        <v>15</v>
      </c>
      <c r="Q11" s="84" t="s">
        <v>16</v>
      </c>
    </row>
    <row r="12" spans="1:17" ht="15.75" x14ac:dyDescent="0.25">
      <c r="A12" s="558" t="s">
        <v>17</v>
      </c>
      <c r="B12" s="494" t="s">
        <v>18</v>
      </c>
      <c r="C12" s="560" t="s">
        <v>19</v>
      </c>
      <c r="D12" s="494" t="s">
        <v>20</v>
      </c>
      <c r="E12" s="494" t="s">
        <v>21</v>
      </c>
      <c r="F12" s="562" t="s">
        <v>22</v>
      </c>
      <c r="G12" s="560" t="s">
        <v>23</v>
      </c>
      <c r="H12" s="560" t="s">
        <v>24</v>
      </c>
      <c r="I12" s="560" t="s">
        <v>25</v>
      </c>
      <c r="J12" s="494"/>
      <c r="K12" s="494" t="s">
        <v>18</v>
      </c>
      <c r="L12" s="494"/>
      <c r="M12" s="494"/>
      <c r="N12" s="494"/>
      <c r="O12" s="564">
        <v>3</v>
      </c>
      <c r="P12" s="564">
        <v>4</v>
      </c>
      <c r="Q12" s="566">
        <v>5</v>
      </c>
    </row>
    <row r="13" spans="1:17" ht="15.75" x14ac:dyDescent="0.25">
      <c r="A13" s="583"/>
      <c r="B13" s="495" t="s">
        <v>17</v>
      </c>
      <c r="C13" s="574"/>
      <c r="D13" s="495" t="s">
        <v>26</v>
      </c>
      <c r="E13" s="495" t="s">
        <v>27</v>
      </c>
      <c r="F13" s="584"/>
      <c r="G13" s="574"/>
      <c r="H13" s="574"/>
      <c r="I13" s="574"/>
      <c r="J13" s="495" t="s">
        <v>28</v>
      </c>
      <c r="K13" s="495" t="s">
        <v>28</v>
      </c>
      <c r="L13" s="495" t="s">
        <v>29</v>
      </c>
      <c r="M13" s="495" t="s">
        <v>29</v>
      </c>
      <c r="N13" s="495" t="s">
        <v>30</v>
      </c>
      <c r="O13" s="575"/>
      <c r="P13" s="575"/>
      <c r="Q13" s="576"/>
    </row>
    <row r="14" spans="1:17" ht="17.25" thickBot="1" x14ac:dyDescent="0.3">
      <c r="A14" s="577">
        <v>2</v>
      </c>
      <c r="B14" s="578"/>
      <c r="C14" s="578"/>
      <c r="D14" s="578"/>
      <c r="E14" s="578"/>
      <c r="F14" s="578"/>
      <c r="G14" s="579"/>
      <c r="H14" s="151" t="s">
        <v>13</v>
      </c>
      <c r="I14" s="152"/>
      <c r="J14" s="152"/>
      <c r="K14" s="152"/>
      <c r="L14" s="153"/>
      <c r="M14" s="153"/>
      <c r="N14" s="153"/>
      <c r="O14" s="154" t="s">
        <v>14</v>
      </c>
      <c r="P14" s="154" t="s">
        <v>15</v>
      </c>
      <c r="Q14" s="155" t="s">
        <v>16</v>
      </c>
    </row>
    <row r="15" spans="1:17" ht="16.5" x14ac:dyDescent="0.25">
      <c r="A15" s="116"/>
      <c r="B15" s="86"/>
      <c r="C15" s="116"/>
      <c r="D15" s="86"/>
      <c r="E15" s="116"/>
      <c r="F15" s="86"/>
      <c r="G15" s="116"/>
      <c r="H15" s="86"/>
      <c r="I15" s="116"/>
      <c r="J15" s="262"/>
      <c r="K15" s="86"/>
      <c r="L15" s="116"/>
      <c r="M15" s="86"/>
      <c r="N15" s="211"/>
      <c r="O15" s="296"/>
      <c r="P15" s="297"/>
      <c r="Q15" s="296"/>
    </row>
    <row r="16" spans="1:17" ht="16.5" x14ac:dyDescent="0.25">
      <c r="A16" s="113">
        <v>11</v>
      </c>
      <c r="B16" s="85" t="s">
        <v>31</v>
      </c>
      <c r="C16" s="113" t="s">
        <v>31</v>
      </c>
      <c r="D16" s="166">
        <v>0.1</v>
      </c>
      <c r="E16" s="113" t="s">
        <v>32</v>
      </c>
      <c r="F16" s="85"/>
      <c r="G16" s="113"/>
      <c r="H16" s="315">
        <v>2</v>
      </c>
      <c r="I16" s="304">
        <v>1</v>
      </c>
      <c r="J16" s="318"/>
      <c r="K16" s="315"/>
      <c r="L16" s="304"/>
      <c r="M16" s="315"/>
      <c r="N16" s="319" t="s">
        <v>33</v>
      </c>
      <c r="O16" s="298">
        <f>+P16-Q16</f>
        <v>353861.79000000004</v>
      </c>
      <c r="P16" s="299">
        <f>+P18+P24+P30+P33</f>
        <v>2929951.2099999995</v>
      </c>
      <c r="Q16" s="298">
        <f>+Q18+Q24+Q30</f>
        <v>2576089.4199999995</v>
      </c>
    </row>
    <row r="17" spans="1:17" ht="16.5" x14ac:dyDescent="0.25">
      <c r="A17" s="113"/>
      <c r="B17" s="85"/>
      <c r="C17" s="113"/>
      <c r="D17" s="85"/>
      <c r="E17" s="113"/>
      <c r="F17" s="85"/>
      <c r="G17" s="113"/>
      <c r="H17" s="87"/>
      <c r="I17" s="119"/>
      <c r="J17" s="263"/>
      <c r="K17" s="87"/>
      <c r="L17" s="119"/>
      <c r="M17" s="87"/>
      <c r="N17" s="220"/>
      <c r="O17" s="276"/>
      <c r="P17" s="290"/>
      <c r="Q17" s="276"/>
    </row>
    <row r="18" spans="1:17" ht="16.5" x14ac:dyDescent="0.25">
      <c r="A18" s="113"/>
      <c r="B18" s="85" t="s">
        <v>31</v>
      </c>
      <c r="C18" s="113" t="s">
        <v>31</v>
      </c>
      <c r="D18" s="85"/>
      <c r="E18" s="113" t="s">
        <v>32</v>
      </c>
      <c r="F18" s="85" t="s">
        <v>34</v>
      </c>
      <c r="G18" s="113"/>
      <c r="H18" s="87">
        <v>2</v>
      </c>
      <c r="I18" s="119">
        <v>1</v>
      </c>
      <c r="J18" s="263">
        <v>1</v>
      </c>
      <c r="K18" s="87"/>
      <c r="L18" s="119"/>
      <c r="M18" s="87"/>
      <c r="N18" s="220" t="s">
        <v>35</v>
      </c>
      <c r="O18" s="292"/>
      <c r="P18" s="291">
        <f>+P19+P20+P21+P22</f>
        <v>2553567.9199999995</v>
      </c>
      <c r="Q18" s="292">
        <f>+Q19+Q20+Q21+Q22</f>
        <v>2470458.7099999995</v>
      </c>
    </row>
    <row r="19" spans="1:17" ht="16.5" x14ac:dyDescent="0.25">
      <c r="A19" s="113"/>
      <c r="B19" s="85"/>
      <c r="C19" s="113"/>
      <c r="D19" s="85"/>
      <c r="E19" s="113"/>
      <c r="F19" s="85"/>
      <c r="G19" s="112">
        <v>100</v>
      </c>
      <c r="H19" s="88">
        <v>2</v>
      </c>
      <c r="I19" s="120">
        <v>1</v>
      </c>
      <c r="J19" s="264">
        <v>1</v>
      </c>
      <c r="K19" s="88">
        <v>1</v>
      </c>
      <c r="L19" s="120">
        <v>0</v>
      </c>
      <c r="M19" s="88">
        <v>1</v>
      </c>
      <c r="N19" s="218" t="s">
        <v>36</v>
      </c>
      <c r="O19" s="276"/>
      <c r="P19" s="290">
        <f>1624400+179455</f>
        <v>1803855</v>
      </c>
      <c r="Q19" s="290">
        <f>1624400+179455</f>
        <v>1803855</v>
      </c>
    </row>
    <row r="20" spans="1:17" ht="16.5" x14ac:dyDescent="0.25">
      <c r="A20" s="113"/>
      <c r="B20" s="85"/>
      <c r="C20" s="113"/>
      <c r="D20" s="85"/>
      <c r="E20" s="113"/>
      <c r="F20" s="85"/>
      <c r="G20" s="112">
        <v>100</v>
      </c>
      <c r="H20" s="88">
        <v>2</v>
      </c>
      <c r="I20" s="120">
        <v>1</v>
      </c>
      <c r="J20" s="264">
        <v>1</v>
      </c>
      <c r="K20" s="88">
        <v>2</v>
      </c>
      <c r="L20" s="120">
        <v>0</v>
      </c>
      <c r="M20" s="88">
        <v>1</v>
      </c>
      <c r="N20" s="218" t="s">
        <v>37</v>
      </c>
      <c r="O20" s="276"/>
      <c r="P20" s="294">
        <f>30000+30000+30000+30000+488500+8870.97</f>
        <v>617370.97</v>
      </c>
      <c r="Q20" s="294">
        <f>27000+27000+27000+27000+418277.89+7983.87</f>
        <v>534261.76000000001</v>
      </c>
    </row>
    <row r="21" spans="1:17" ht="16.5" x14ac:dyDescent="0.25">
      <c r="A21" s="113"/>
      <c r="B21" s="85"/>
      <c r="C21" s="113"/>
      <c r="D21" s="85"/>
      <c r="E21" s="113"/>
      <c r="F21" s="85"/>
      <c r="G21" s="112">
        <v>9995</v>
      </c>
      <c r="H21" s="88">
        <v>2</v>
      </c>
      <c r="I21" s="120">
        <v>1</v>
      </c>
      <c r="J21" s="264">
        <v>1</v>
      </c>
      <c r="K21" s="88">
        <v>5</v>
      </c>
      <c r="L21" s="120">
        <v>0</v>
      </c>
      <c r="M21" s="88">
        <v>1</v>
      </c>
      <c r="N21" s="218" t="s">
        <v>38</v>
      </c>
      <c r="O21" s="276"/>
      <c r="P21" s="290">
        <v>126804.34</v>
      </c>
      <c r="Q21" s="276">
        <v>126804.34</v>
      </c>
    </row>
    <row r="22" spans="1:17" ht="16.5" x14ac:dyDescent="0.25">
      <c r="A22" s="113"/>
      <c r="B22" s="85"/>
      <c r="C22" s="113"/>
      <c r="D22" s="85"/>
      <c r="E22" s="113"/>
      <c r="F22" s="85"/>
      <c r="G22" s="112">
        <v>9995</v>
      </c>
      <c r="H22" s="88">
        <v>2</v>
      </c>
      <c r="I22" s="120">
        <v>1</v>
      </c>
      <c r="J22" s="264">
        <v>1</v>
      </c>
      <c r="K22" s="88">
        <v>5</v>
      </c>
      <c r="L22" s="120">
        <v>0</v>
      </c>
      <c r="M22" s="88">
        <v>4</v>
      </c>
      <c r="N22" s="218" t="s">
        <v>39</v>
      </c>
      <c r="O22" s="276"/>
      <c r="P22" s="290">
        <v>5537.61</v>
      </c>
      <c r="Q22" s="276">
        <v>5537.61</v>
      </c>
    </row>
    <row r="23" spans="1:17" ht="16.5" x14ac:dyDescent="0.25">
      <c r="A23" s="113"/>
      <c r="B23" s="85"/>
      <c r="C23" s="113"/>
      <c r="D23" s="85"/>
      <c r="E23" s="113"/>
      <c r="F23" s="85"/>
      <c r="G23" s="112"/>
      <c r="H23" s="88"/>
      <c r="I23" s="120"/>
      <c r="J23" s="264"/>
      <c r="K23" s="88"/>
      <c r="L23" s="120"/>
      <c r="M23" s="88"/>
      <c r="N23" s="218"/>
      <c r="O23" s="276"/>
      <c r="P23" s="290"/>
      <c r="Q23" s="276"/>
    </row>
    <row r="24" spans="1:17" ht="16.5" x14ac:dyDescent="0.25">
      <c r="A24" s="112"/>
      <c r="B24" s="85" t="s">
        <v>31</v>
      </c>
      <c r="C24" s="113" t="s">
        <v>31</v>
      </c>
      <c r="D24" s="85"/>
      <c r="E24" s="113" t="s">
        <v>32</v>
      </c>
      <c r="F24" s="85" t="s">
        <v>34</v>
      </c>
      <c r="G24" s="112"/>
      <c r="H24" s="87">
        <v>2</v>
      </c>
      <c r="I24" s="119">
        <v>1</v>
      </c>
      <c r="J24" s="263">
        <v>2</v>
      </c>
      <c r="K24" s="87"/>
      <c r="L24" s="119"/>
      <c r="M24" s="87"/>
      <c r="N24" s="220" t="s">
        <v>40</v>
      </c>
      <c r="O24" s="276"/>
      <c r="P24" s="291">
        <f>+P25+P26+P27+P28</f>
        <v>86968</v>
      </c>
      <c r="Q24" s="292">
        <f>+Q25+Q26+Q27+Q28</f>
        <v>79380.709999999992</v>
      </c>
    </row>
    <row r="25" spans="1:17" ht="16.5" x14ac:dyDescent="0.25">
      <c r="A25" s="112"/>
      <c r="B25" s="85"/>
      <c r="C25" s="113"/>
      <c r="D25" s="85"/>
      <c r="E25" s="113"/>
      <c r="F25" s="85"/>
      <c r="G25" s="112">
        <v>9995</v>
      </c>
      <c r="H25" s="88">
        <v>2</v>
      </c>
      <c r="I25" s="120">
        <v>1</v>
      </c>
      <c r="J25" s="264">
        <v>2</v>
      </c>
      <c r="K25" s="88">
        <v>2</v>
      </c>
      <c r="L25" s="120">
        <v>0</v>
      </c>
      <c r="M25" s="88">
        <v>1</v>
      </c>
      <c r="N25" s="218" t="s">
        <v>41</v>
      </c>
      <c r="O25" s="276"/>
      <c r="P25" s="290">
        <v>12500</v>
      </c>
      <c r="Q25" s="276">
        <v>12500</v>
      </c>
    </row>
    <row r="26" spans="1:17" ht="16.5" x14ac:dyDescent="0.25">
      <c r="A26" s="112"/>
      <c r="B26" s="90"/>
      <c r="C26" s="112"/>
      <c r="D26" s="90"/>
      <c r="E26" s="112"/>
      <c r="F26" s="90"/>
      <c r="G26" s="112">
        <v>9995</v>
      </c>
      <c r="H26" s="88">
        <v>2</v>
      </c>
      <c r="I26" s="120">
        <v>1</v>
      </c>
      <c r="J26" s="264">
        <v>2</v>
      </c>
      <c r="K26" s="88">
        <v>2</v>
      </c>
      <c r="L26" s="120">
        <v>0</v>
      </c>
      <c r="M26" s="88">
        <v>2</v>
      </c>
      <c r="N26" s="218" t="s">
        <v>42</v>
      </c>
      <c r="O26" s="276"/>
      <c r="P26" s="290">
        <v>28168</v>
      </c>
      <c r="Q26" s="276">
        <v>28168</v>
      </c>
    </row>
    <row r="27" spans="1:17" ht="16.5" x14ac:dyDescent="0.25">
      <c r="A27" s="112"/>
      <c r="B27" s="90"/>
      <c r="C27" s="112"/>
      <c r="D27" s="90"/>
      <c r="E27" s="112"/>
      <c r="F27" s="90"/>
      <c r="G27" s="112">
        <v>9995</v>
      </c>
      <c r="H27" s="88">
        <v>2</v>
      </c>
      <c r="I27" s="120">
        <v>1</v>
      </c>
      <c r="J27" s="264">
        <v>2</v>
      </c>
      <c r="K27" s="88">
        <v>2</v>
      </c>
      <c r="L27" s="120">
        <v>0</v>
      </c>
      <c r="M27" s="88">
        <v>4</v>
      </c>
      <c r="N27" s="218" t="s">
        <v>43</v>
      </c>
      <c r="O27" s="276"/>
      <c r="P27" s="290">
        <v>2300</v>
      </c>
      <c r="Q27" s="276">
        <v>2300</v>
      </c>
    </row>
    <row r="28" spans="1:17" ht="16.5" x14ac:dyDescent="0.25">
      <c r="A28" s="112"/>
      <c r="B28" s="90"/>
      <c r="C28" s="112"/>
      <c r="D28" s="90"/>
      <c r="E28" s="112"/>
      <c r="F28" s="90"/>
      <c r="G28" s="112">
        <v>9995</v>
      </c>
      <c r="H28" s="88">
        <v>2</v>
      </c>
      <c r="I28" s="120">
        <v>1</v>
      </c>
      <c r="J28" s="264">
        <v>2</v>
      </c>
      <c r="K28" s="88">
        <v>2</v>
      </c>
      <c r="L28" s="120">
        <v>0</v>
      </c>
      <c r="M28" s="88">
        <v>8</v>
      </c>
      <c r="N28" s="306" t="s">
        <v>44</v>
      </c>
      <c r="O28" s="276"/>
      <c r="P28" s="294">
        <f>2500+3000+8500+30000</f>
        <v>44000</v>
      </c>
      <c r="Q28" s="294">
        <f>2250+2700+6374.99+25087.72</f>
        <v>36412.71</v>
      </c>
    </row>
    <row r="29" spans="1:17" ht="16.5" x14ac:dyDescent="0.25">
      <c r="A29" s="112"/>
      <c r="B29" s="90"/>
      <c r="C29" s="112"/>
      <c r="D29" s="90"/>
      <c r="E29" s="112"/>
      <c r="F29" s="90"/>
      <c r="G29" s="112"/>
      <c r="H29" s="88"/>
      <c r="I29" s="120"/>
      <c r="J29" s="264"/>
      <c r="K29" s="88"/>
      <c r="L29" s="120"/>
      <c r="M29" s="88"/>
      <c r="N29" s="218"/>
      <c r="O29" s="276"/>
      <c r="P29" s="290"/>
      <c r="Q29" s="276"/>
    </row>
    <row r="30" spans="1:17" ht="16.5" x14ac:dyDescent="0.25">
      <c r="A30" s="112"/>
      <c r="B30" s="90"/>
      <c r="C30" s="112"/>
      <c r="D30" s="90"/>
      <c r="E30" s="112"/>
      <c r="F30" s="90"/>
      <c r="G30" s="112"/>
      <c r="H30" s="87">
        <v>2</v>
      </c>
      <c r="I30" s="119">
        <v>1</v>
      </c>
      <c r="J30" s="263">
        <v>3</v>
      </c>
      <c r="K30" s="87"/>
      <c r="L30" s="119"/>
      <c r="M30" s="87"/>
      <c r="N30" s="220" t="s">
        <v>45</v>
      </c>
      <c r="O30" s="292"/>
      <c r="P30" s="291">
        <f>+P31</f>
        <v>26250</v>
      </c>
      <c r="Q30" s="292">
        <f>+Q31</f>
        <v>26250</v>
      </c>
    </row>
    <row r="31" spans="1:17" ht="16.5" x14ac:dyDescent="0.25">
      <c r="A31" s="112"/>
      <c r="B31" s="90"/>
      <c r="C31" s="112"/>
      <c r="D31" s="90"/>
      <c r="E31" s="112"/>
      <c r="F31" s="90"/>
      <c r="G31" s="112">
        <v>9995</v>
      </c>
      <c r="H31" s="88">
        <v>2</v>
      </c>
      <c r="I31" s="120">
        <v>1</v>
      </c>
      <c r="J31" s="264">
        <v>3</v>
      </c>
      <c r="K31" s="88">
        <v>2</v>
      </c>
      <c r="L31" s="120">
        <v>0</v>
      </c>
      <c r="M31" s="88">
        <v>1</v>
      </c>
      <c r="N31" s="218" t="s">
        <v>46</v>
      </c>
      <c r="O31" s="276"/>
      <c r="P31" s="290">
        <v>26250</v>
      </c>
      <c r="Q31" s="276">
        <v>26250</v>
      </c>
    </row>
    <row r="32" spans="1:17" ht="16.5" x14ac:dyDescent="0.25">
      <c r="A32" s="112"/>
      <c r="B32" s="90"/>
      <c r="C32" s="112"/>
      <c r="D32" s="90"/>
      <c r="E32" s="112"/>
      <c r="F32" s="90"/>
      <c r="G32" s="112"/>
      <c r="H32" s="88"/>
      <c r="I32" s="120"/>
      <c r="J32" s="264"/>
      <c r="K32" s="88"/>
      <c r="L32" s="120"/>
      <c r="M32" s="88"/>
      <c r="N32" s="218"/>
      <c r="O32" s="276"/>
      <c r="P32" s="290"/>
      <c r="Q32" s="276"/>
    </row>
    <row r="33" spans="1:17" ht="33" x14ac:dyDescent="0.25">
      <c r="A33" s="112"/>
      <c r="B33" s="85" t="s">
        <v>31</v>
      </c>
      <c r="C33" s="113" t="s">
        <v>31</v>
      </c>
      <c r="D33" s="85"/>
      <c r="E33" s="113" t="s">
        <v>32</v>
      </c>
      <c r="F33" s="85" t="s">
        <v>34</v>
      </c>
      <c r="G33" s="112"/>
      <c r="H33" s="87">
        <v>2</v>
      </c>
      <c r="I33" s="119">
        <v>1</v>
      </c>
      <c r="J33" s="263">
        <v>5</v>
      </c>
      <c r="K33" s="87"/>
      <c r="L33" s="119"/>
      <c r="M33" s="87"/>
      <c r="N33" s="259" t="s">
        <v>47</v>
      </c>
      <c r="O33" s="292"/>
      <c r="P33" s="291">
        <f>+P34+P35</f>
        <v>263165.28999999998</v>
      </c>
      <c r="Q33" s="292"/>
    </row>
    <row r="34" spans="1:17" ht="16.5" x14ac:dyDescent="0.25">
      <c r="A34" s="112"/>
      <c r="B34" s="90"/>
      <c r="C34" s="112"/>
      <c r="D34" s="90"/>
      <c r="E34" s="112"/>
      <c r="F34" s="90"/>
      <c r="G34" s="112">
        <v>100</v>
      </c>
      <c r="H34" s="88">
        <v>2</v>
      </c>
      <c r="I34" s="120">
        <v>1</v>
      </c>
      <c r="J34" s="264">
        <v>5</v>
      </c>
      <c r="K34" s="88">
        <v>2</v>
      </c>
      <c r="L34" s="120">
        <v>0</v>
      </c>
      <c r="M34" s="88">
        <v>1</v>
      </c>
      <c r="N34" s="218" t="s">
        <v>48</v>
      </c>
      <c r="O34" s="276"/>
      <c r="P34" s="290">
        <v>228254.71</v>
      </c>
      <c r="Q34" s="276"/>
    </row>
    <row r="35" spans="1:17" ht="16.5" x14ac:dyDescent="0.25">
      <c r="A35" s="112"/>
      <c r="B35" s="90"/>
      <c r="C35" s="112"/>
      <c r="D35" s="90"/>
      <c r="E35" s="112"/>
      <c r="F35" s="90"/>
      <c r="G35" s="112">
        <v>100</v>
      </c>
      <c r="H35" s="88">
        <v>2</v>
      </c>
      <c r="I35" s="120">
        <v>1</v>
      </c>
      <c r="J35" s="264">
        <v>5</v>
      </c>
      <c r="K35" s="88">
        <v>3</v>
      </c>
      <c r="L35" s="120">
        <v>0</v>
      </c>
      <c r="M35" s="88">
        <v>1</v>
      </c>
      <c r="N35" s="218" t="s">
        <v>49</v>
      </c>
      <c r="O35" s="276"/>
      <c r="P35" s="290">
        <v>34910.58</v>
      </c>
      <c r="Q35" s="276"/>
    </row>
    <row r="36" spans="1:17" ht="16.5" x14ac:dyDescent="0.25">
      <c r="A36" s="112"/>
      <c r="B36" s="90"/>
      <c r="C36" s="112"/>
      <c r="D36" s="90"/>
      <c r="E36" s="112"/>
      <c r="F36" s="90"/>
      <c r="G36" s="112"/>
      <c r="H36" s="88"/>
      <c r="I36" s="120"/>
      <c r="J36" s="264"/>
      <c r="K36" s="88"/>
      <c r="L36" s="120"/>
      <c r="M36" s="88"/>
      <c r="N36" s="218"/>
      <c r="O36" s="276"/>
      <c r="P36" s="290"/>
      <c r="Q36" s="276"/>
    </row>
    <row r="37" spans="1:17" ht="16.5" x14ac:dyDescent="0.25">
      <c r="A37" s="112"/>
      <c r="B37" s="85" t="s">
        <v>31</v>
      </c>
      <c r="C37" s="113" t="s">
        <v>31</v>
      </c>
      <c r="D37" s="85"/>
      <c r="E37" s="113" t="s">
        <v>32</v>
      </c>
      <c r="F37" s="85" t="s">
        <v>34</v>
      </c>
      <c r="G37" s="112"/>
      <c r="H37" s="315">
        <v>2</v>
      </c>
      <c r="I37" s="304">
        <v>2</v>
      </c>
      <c r="J37" s="318"/>
      <c r="K37" s="315"/>
      <c r="L37" s="304"/>
      <c r="M37" s="315"/>
      <c r="N37" s="319" t="s">
        <v>50</v>
      </c>
      <c r="O37" s="253">
        <f>+P37-Q37</f>
        <v>811478.63000000012</v>
      </c>
      <c r="P37" s="252">
        <f>+P39+P49+P53+P56+P59+P62+P66+P69</f>
        <v>1598354.87</v>
      </c>
      <c r="Q37" s="253">
        <f>+Q49+Q53+Q56+Q62+Q66+Q69</f>
        <v>786876.24</v>
      </c>
    </row>
    <row r="38" spans="1:17" ht="16.5" x14ac:dyDescent="0.25">
      <c r="A38" s="112"/>
      <c r="B38" s="90"/>
      <c r="C38" s="112"/>
      <c r="D38" s="90"/>
      <c r="E38" s="112"/>
      <c r="F38" s="90"/>
      <c r="G38" s="112"/>
      <c r="H38" s="87"/>
      <c r="I38" s="119"/>
      <c r="J38" s="263"/>
      <c r="K38" s="87"/>
      <c r="L38" s="119"/>
      <c r="M38" s="87"/>
      <c r="N38" s="220"/>
      <c r="O38" s="276"/>
      <c r="P38" s="290"/>
      <c r="Q38" s="276"/>
    </row>
    <row r="39" spans="1:17" ht="16.5" x14ac:dyDescent="0.25">
      <c r="A39" s="112"/>
      <c r="B39" s="85" t="s">
        <v>31</v>
      </c>
      <c r="C39" s="113" t="s">
        <v>31</v>
      </c>
      <c r="D39" s="85"/>
      <c r="E39" s="113" t="s">
        <v>32</v>
      </c>
      <c r="F39" s="85" t="s">
        <v>34</v>
      </c>
      <c r="G39" s="112"/>
      <c r="H39" s="87">
        <v>2</v>
      </c>
      <c r="I39" s="119">
        <v>2</v>
      </c>
      <c r="J39" s="263">
        <v>1</v>
      </c>
      <c r="K39" s="87"/>
      <c r="L39" s="119"/>
      <c r="M39" s="87"/>
      <c r="N39" s="220" t="s">
        <v>51</v>
      </c>
      <c r="O39" s="276"/>
      <c r="P39" s="291">
        <f>+P40+P41+P42+P43+P44+P45+P46</f>
        <v>429092.82</v>
      </c>
      <c r="Q39" s="292"/>
    </row>
    <row r="40" spans="1:17" ht="16.5" x14ac:dyDescent="0.25">
      <c r="A40" s="112"/>
      <c r="B40" s="90"/>
      <c r="C40" s="112"/>
      <c r="D40" s="90"/>
      <c r="E40" s="112"/>
      <c r="F40" s="90"/>
      <c r="G40" s="112">
        <v>100</v>
      </c>
      <c r="H40" s="88">
        <v>2</v>
      </c>
      <c r="I40" s="120">
        <v>2</v>
      </c>
      <c r="J40" s="264">
        <v>1</v>
      </c>
      <c r="K40" s="88">
        <v>2</v>
      </c>
      <c r="L40" s="120">
        <v>0</v>
      </c>
      <c r="M40" s="88">
        <v>1</v>
      </c>
      <c r="N40" s="218" t="s">
        <v>52</v>
      </c>
      <c r="O40" s="276"/>
      <c r="P40" s="290">
        <v>950.4</v>
      </c>
      <c r="Q40" s="276"/>
    </row>
    <row r="41" spans="1:17" ht="16.5" x14ac:dyDescent="0.25">
      <c r="A41" s="112"/>
      <c r="B41" s="90"/>
      <c r="C41" s="112"/>
      <c r="D41" s="90"/>
      <c r="E41" s="112"/>
      <c r="F41" s="90"/>
      <c r="G41" s="112">
        <v>100</v>
      </c>
      <c r="H41" s="88">
        <v>2</v>
      </c>
      <c r="I41" s="120">
        <v>2</v>
      </c>
      <c r="J41" s="264">
        <v>1</v>
      </c>
      <c r="K41" s="88">
        <v>3</v>
      </c>
      <c r="L41" s="120">
        <v>0</v>
      </c>
      <c r="M41" s="88">
        <v>1</v>
      </c>
      <c r="N41" s="218" t="s">
        <v>53</v>
      </c>
      <c r="O41" s="276"/>
      <c r="P41" s="290">
        <v>29494.959999999999</v>
      </c>
      <c r="Q41" s="276"/>
    </row>
    <row r="42" spans="1:17" ht="16.5" x14ac:dyDescent="0.25">
      <c r="A42" s="112"/>
      <c r="B42" s="90"/>
      <c r="C42" s="112"/>
      <c r="D42" s="90"/>
      <c r="E42" s="112"/>
      <c r="F42" s="90"/>
      <c r="G42" s="112">
        <v>100</v>
      </c>
      <c r="H42" s="88">
        <v>2</v>
      </c>
      <c r="I42" s="120">
        <v>2</v>
      </c>
      <c r="J42" s="264">
        <v>1</v>
      </c>
      <c r="K42" s="88">
        <v>4</v>
      </c>
      <c r="L42" s="120">
        <v>0</v>
      </c>
      <c r="M42" s="88">
        <v>1</v>
      </c>
      <c r="N42" s="218" t="s">
        <v>54</v>
      </c>
      <c r="O42" s="276"/>
      <c r="P42" s="290">
        <v>9059.92</v>
      </c>
      <c r="Q42" s="276"/>
    </row>
    <row r="43" spans="1:17" ht="16.5" x14ac:dyDescent="0.25">
      <c r="A43" s="112"/>
      <c r="B43" s="90"/>
      <c r="C43" s="112"/>
      <c r="D43" s="90"/>
      <c r="E43" s="112"/>
      <c r="F43" s="90"/>
      <c r="G43" s="112">
        <v>100</v>
      </c>
      <c r="H43" s="88">
        <v>2</v>
      </c>
      <c r="I43" s="120">
        <v>2</v>
      </c>
      <c r="J43" s="264">
        <v>1</v>
      </c>
      <c r="K43" s="88">
        <v>5</v>
      </c>
      <c r="L43" s="120">
        <v>0</v>
      </c>
      <c r="M43" s="88">
        <v>1</v>
      </c>
      <c r="N43" s="218" t="s">
        <v>55</v>
      </c>
      <c r="O43" s="276"/>
      <c r="P43" s="290">
        <v>10918.96</v>
      </c>
      <c r="Q43" s="276"/>
    </row>
    <row r="44" spans="1:17" ht="16.5" x14ac:dyDescent="0.25">
      <c r="A44" s="112"/>
      <c r="B44" s="90"/>
      <c r="C44" s="112"/>
      <c r="D44" s="90"/>
      <c r="E44" s="112"/>
      <c r="F44" s="90"/>
      <c r="G44" s="112">
        <v>100</v>
      </c>
      <c r="H44" s="88">
        <v>2</v>
      </c>
      <c r="I44" s="120">
        <v>2</v>
      </c>
      <c r="J44" s="264">
        <v>1</v>
      </c>
      <c r="K44" s="88">
        <v>6</v>
      </c>
      <c r="L44" s="120">
        <v>0</v>
      </c>
      <c r="M44" s="88">
        <v>1</v>
      </c>
      <c r="N44" s="218" t="s">
        <v>56</v>
      </c>
      <c r="O44" s="276"/>
      <c r="P44" s="290">
        <v>367796.58</v>
      </c>
      <c r="Q44" s="293"/>
    </row>
    <row r="45" spans="1:17" ht="16.5" x14ac:dyDescent="0.25">
      <c r="A45" s="112"/>
      <c r="B45" s="90"/>
      <c r="C45" s="112"/>
      <c r="D45" s="90"/>
      <c r="E45" s="112"/>
      <c r="F45" s="90"/>
      <c r="G45" s="112">
        <v>100</v>
      </c>
      <c r="H45" s="88">
        <v>2</v>
      </c>
      <c r="I45" s="120">
        <v>2</v>
      </c>
      <c r="J45" s="264">
        <v>1</v>
      </c>
      <c r="K45" s="88">
        <v>7</v>
      </c>
      <c r="L45" s="120">
        <v>0</v>
      </c>
      <c r="M45" s="88">
        <v>1</v>
      </c>
      <c r="N45" s="218" t="s">
        <v>57</v>
      </c>
      <c r="O45" s="276"/>
      <c r="P45" s="290">
        <v>8232</v>
      </c>
      <c r="Q45" s="276"/>
    </row>
    <row r="46" spans="1:17" ht="16.5" x14ac:dyDescent="0.25">
      <c r="A46" s="112"/>
      <c r="B46" s="90"/>
      <c r="C46" s="112"/>
      <c r="D46" s="90"/>
      <c r="E46" s="112"/>
      <c r="F46" s="90"/>
      <c r="G46" s="112">
        <v>100</v>
      </c>
      <c r="H46" s="88">
        <v>2</v>
      </c>
      <c r="I46" s="120">
        <v>2</v>
      </c>
      <c r="J46" s="264">
        <v>1</v>
      </c>
      <c r="K46" s="88">
        <v>8</v>
      </c>
      <c r="L46" s="120">
        <v>0</v>
      </c>
      <c r="M46" s="88">
        <v>1</v>
      </c>
      <c r="N46" s="218" t="s">
        <v>58</v>
      </c>
      <c r="O46" s="276"/>
      <c r="P46" s="290">
        <v>2640</v>
      </c>
      <c r="Q46" s="276"/>
    </row>
    <row r="47" spans="1:17" ht="16.5" x14ac:dyDescent="0.25">
      <c r="A47" s="112"/>
      <c r="B47" s="90"/>
      <c r="C47" s="112"/>
      <c r="D47" s="90"/>
      <c r="E47" s="112"/>
      <c r="F47" s="90"/>
      <c r="G47" s="112"/>
      <c r="H47" s="88"/>
      <c r="I47" s="120"/>
      <c r="J47" s="264"/>
      <c r="K47" s="88"/>
      <c r="L47" s="120"/>
      <c r="M47" s="88"/>
      <c r="N47" s="218"/>
      <c r="O47" s="276"/>
      <c r="P47" s="290"/>
      <c r="Q47" s="276"/>
    </row>
    <row r="48" spans="1:17" ht="16.5" x14ac:dyDescent="0.25">
      <c r="A48" s="112"/>
      <c r="B48" s="90"/>
      <c r="C48" s="112"/>
      <c r="D48" s="90"/>
      <c r="E48" s="112"/>
      <c r="F48" s="90"/>
      <c r="G48" s="112"/>
      <c r="H48" s="88"/>
      <c r="I48" s="120"/>
      <c r="J48" s="264"/>
      <c r="K48" s="88"/>
      <c r="L48" s="120"/>
      <c r="M48" s="88"/>
      <c r="N48" s="218"/>
      <c r="O48" s="276"/>
      <c r="P48" s="290"/>
      <c r="Q48" s="276"/>
    </row>
    <row r="49" spans="1:18" ht="16.5" x14ac:dyDescent="0.25">
      <c r="A49" s="112"/>
      <c r="B49" s="85" t="s">
        <v>31</v>
      </c>
      <c r="C49" s="113" t="s">
        <v>31</v>
      </c>
      <c r="D49" s="85"/>
      <c r="E49" s="113" t="s">
        <v>32</v>
      </c>
      <c r="F49" s="85" t="s">
        <v>34</v>
      </c>
      <c r="G49" s="112"/>
      <c r="H49" s="87">
        <v>2</v>
      </c>
      <c r="I49" s="119">
        <v>2</v>
      </c>
      <c r="J49" s="263">
        <v>2</v>
      </c>
      <c r="K49" s="87"/>
      <c r="L49" s="119"/>
      <c r="M49" s="87"/>
      <c r="N49" s="220" t="s">
        <v>59</v>
      </c>
      <c r="O49" s="276"/>
      <c r="P49" s="291">
        <f>+P50+P51</f>
        <v>23095.11</v>
      </c>
      <c r="Q49" s="292">
        <f>+Q51</f>
        <v>2322.71</v>
      </c>
    </row>
    <row r="50" spans="1:18" ht="16.5" x14ac:dyDescent="0.25">
      <c r="A50" s="112"/>
      <c r="B50" s="90"/>
      <c r="C50" s="112"/>
      <c r="D50" s="90"/>
      <c r="E50" s="112"/>
      <c r="F50" s="90"/>
      <c r="G50" s="112">
        <v>100</v>
      </c>
      <c r="H50" s="88">
        <v>2</v>
      </c>
      <c r="I50" s="120">
        <v>2</v>
      </c>
      <c r="J50" s="264">
        <v>2</v>
      </c>
      <c r="K50" s="88">
        <v>1</v>
      </c>
      <c r="L50" s="120">
        <v>0</v>
      </c>
      <c r="M50" s="88">
        <v>1</v>
      </c>
      <c r="N50" s="218" t="s">
        <v>60</v>
      </c>
      <c r="O50" s="276"/>
      <c r="P50" s="290">
        <v>19311.560000000001</v>
      </c>
      <c r="Q50" s="276"/>
    </row>
    <row r="51" spans="1:18" ht="16.5" x14ac:dyDescent="0.25">
      <c r="A51" s="112"/>
      <c r="B51" s="90"/>
      <c r="C51" s="112"/>
      <c r="D51" s="90"/>
      <c r="E51" s="112"/>
      <c r="F51" s="90"/>
      <c r="G51" s="112">
        <v>9995</v>
      </c>
      <c r="H51" s="88">
        <v>2</v>
      </c>
      <c r="I51" s="120">
        <v>2</v>
      </c>
      <c r="J51" s="264">
        <v>2</v>
      </c>
      <c r="K51" s="88">
        <v>2</v>
      </c>
      <c r="L51" s="120">
        <v>0</v>
      </c>
      <c r="M51" s="88">
        <v>1</v>
      </c>
      <c r="N51" s="218" t="s">
        <v>61</v>
      </c>
      <c r="O51" s="276"/>
      <c r="P51" s="276">
        <f>2322.71+1460.84</f>
        <v>3783.55</v>
      </c>
      <c r="Q51" s="276">
        <v>2322.71</v>
      </c>
    </row>
    <row r="52" spans="1:18" ht="16.5" x14ac:dyDescent="0.25">
      <c r="A52" s="112"/>
      <c r="B52" s="90"/>
      <c r="C52" s="112"/>
      <c r="D52" s="90"/>
      <c r="E52" s="112"/>
      <c r="F52" s="90"/>
      <c r="G52" s="112"/>
      <c r="H52" s="88"/>
      <c r="I52" s="120"/>
      <c r="J52" s="264"/>
      <c r="K52" s="88"/>
      <c r="L52" s="120"/>
      <c r="M52" s="88"/>
      <c r="N52" s="218"/>
      <c r="O52" s="276"/>
      <c r="P52" s="290"/>
      <c r="Q52" s="276"/>
    </row>
    <row r="53" spans="1:18" ht="16.5" x14ac:dyDescent="0.25">
      <c r="A53" s="112"/>
      <c r="B53" s="90"/>
      <c r="C53" s="112"/>
      <c r="D53" s="90"/>
      <c r="E53" s="112"/>
      <c r="F53" s="90"/>
      <c r="G53" s="112"/>
      <c r="H53" s="87">
        <v>2</v>
      </c>
      <c r="I53" s="119">
        <v>2</v>
      </c>
      <c r="J53" s="263">
        <v>3</v>
      </c>
      <c r="K53" s="88"/>
      <c r="L53" s="120"/>
      <c r="M53" s="88"/>
      <c r="N53" s="119" t="s">
        <v>62</v>
      </c>
      <c r="O53" s="276"/>
      <c r="P53" s="291">
        <f>+P54</f>
        <v>43760</v>
      </c>
      <c r="Q53" s="292">
        <f>+Q54</f>
        <v>43760</v>
      </c>
      <c r="R53" s="48"/>
    </row>
    <row r="54" spans="1:18" ht="16.5" x14ac:dyDescent="0.25">
      <c r="A54" s="112"/>
      <c r="B54" s="90"/>
      <c r="C54" s="112"/>
      <c r="D54" s="90"/>
      <c r="E54" s="112"/>
      <c r="F54" s="90"/>
      <c r="G54" s="112">
        <v>9995</v>
      </c>
      <c r="H54" s="88">
        <v>2</v>
      </c>
      <c r="I54" s="120">
        <v>2</v>
      </c>
      <c r="J54" s="264">
        <v>3</v>
      </c>
      <c r="K54" s="88">
        <v>1</v>
      </c>
      <c r="L54" s="120">
        <v>0</v>
      </c>
      <c r="M54" s="88">
        <v>1</v>
      </c>
      <c r="N54" s="120" t="s">
        <v>63</v>
      </c>
      <c r="O54" s="276"/>
      <c r="P54" s="294">
        <f>3675+3885+3885+5805+2965+2965+3675+5305+1600+2400+750+1050+1600+2400+750+1050</f>
        <v>43760</v>
      </c>
      <c r="Q54" s="294">
        <f>3675+3885+3885+5805+2965+2965+3675+5305+1600+2400+750+1050+1600+2400+750+1050</f>
        <v>43760</v>
      </c>
    </row>
    <row r="55" spans="1:18" ht="16.5" x14ac:dyDescent="0.25">
      <c r="A55" s="112"/>
      <c r="B55" s="90"/>
      <c r="C55" s="112"/>
      <c r="D55" s="90"/>
      <c r="E55" s="112"/>
      <c r="F55" s="90"/>
      <c r="G55" s="112"/>
      <c r="H55" s="88"/>
      <c r="I55" s="120"/>
      <c r="J55" s="264"/>
      <c r="K55" s="88"/>
      <c r="L55" s="120"/>
      <c r="M55" s="88"/>
      <c r="N55" s="218"/>
      <c r="O55" s="276"/>
      <c r="P55" s="295"/>
      <c r="Q55" s="294"/>
    </row>
    <row r="56" spans="1:18" ht="16.5" x14ac:dyDescent="0.25">
      <c r="A56" s="112"/>
      <c r="B56" s="90"/>
      <c r="C56" s="112"/>
      <c r="D56" s="90"/>
      <c r="E56" s="112"/>
      <c r="F56" s="90"/>
      <c r="G56" s="112"/>
      <c r="H56" s="88">
        <v>2</v>
      </c>
      <c r="I56" s="120">
        <v>2</v>
      </c>
      <c r="J56" s="264">
        <v>4</v>
      </c>
      <c r="K56" s="88"/>
      <c r="L56" s="120"/>
      <c r="M56" s="88"/>
      <c r="N56" s="220" t="s">
        <v>64</v>
      </c>
      <c r="O56" s="276"/>
      <c r="P56" s="301">
        <f>+P57</f>
        <v>580</v>
      </c>
      <c r="Q56" s="300">
        <f>+Q57</f>
        <v>580</v>
      </c>
    </row>
    <row r="57" spans="1:18" ht="16.5" x14ac:dyDescent="0.25">
      <c r="A57" s="112"/>
      <c r="B57" s="90"/>
      <c r="C57" s="112"/>
      <c r="D57" s="90"/>
      <c r="E57" s="112"/>
      <c r="F57" s="90"/>
      <c r="G57" s="112">
        <v>9995</v>
      </c>
      <c r="H57" s="88">
        <v>2</v>
      </c>
      <c r="I57" s="120">
        <v>2</v>
      </c>
      <c r="J57" s="264">
        <v>4</v>
      </c>
      <c r="K57" s="88">
        <v>4</v>
      </c>
      <c r="L57" s="120">
        <v>0</v>
      </c>
      <c r="M57" s="88">
        <v>1</v>
      </c>
      <c r="N57" s="218" t="s">
        <v>65</v>
      </c>
      <c r="O57" s="276"/>
      <c r="P57" s="295">
        <f>260+260+30+30</f>
        <v>580</v>
      </c>
      <c r="Q57" s="294">
        <f>260+260+30+30</f>
        <v>580</v>
      </c>
    </row>
    <row r="58" spans="1:18" ht="16.5" x14ac:dyDescent="0.25">
      <c r="A58" s="112"/>
      <c r="B58" s="90"/>
      <c r="C58" s="112"/>
      <c r="D58" s="90"/>
      <c r="E58" s="112"/>
      <c r="F58" s="90"/>
      <c r="G58" s="112"/>
      <c r="H58" s="88"/>
      <c r="I58" s="120"/>
      <c r="J58" s="264"/>
      <c r="K58" s="88"/>
      <c r="L58" s="120"/>
      <c r="M58" s="88"/>
      <c r="N58" s="218"/>
      <c r="O58" s="276"/>
      <c r="P58" s="295"/>
      <c r="Q58" s="294"/>
    </row>
    <row r="59" spans="1:18" ht="16.5" x14ac:dyDescent="0.25">
      <c r="A59" s="112"/>
      <c r="B59" s="90"/>
      <c r="C59" s="112"/>
      <c r="D59" s="90"/>
      <c r="E59" s="112"/>
      <c r="F59" s="90"/>
      <c r="G59" s="112"/>
      <c r="H59" s="88">
        <v>2</v>
      </c>
      <c r="I59" s="120">
        <v>2</v>
      </c>
      <c r="J59" s="264">
        <v>5</v>
      </c>
      <c r="K59" s="88"/>
      <c r="L59" s="120"/>
      <c r="M59" s="88"/>
      <c r="N59" s="218"/>
      <c r="O59" s="276"/>
      <c r="P59" s="301">
        <f>+P60</f>
        <v>80465</v>
      </c>
      <c r="Q59" s="294"/>
    </row>
    <row r="60" spans="1:18" ht="16.5" x14ac:dyDescent="0.25">
      <c r="A60" s="112"/>
      <c r="B60" s="90"/>
      <c r="C60" s="112"/>
      <c r="D60" s="90"/>
      <c r="E60" s="112"/>
      <c r="F60" s="90"/>
      <c r="G60" s="112"/>
      <c r="H60" s="88">
        <v>2</v>
      </c>
      <c r="I60" s="120">
        <v>2</v>
      </c>
      <c r="J60" s="264">
        <v>5</v>
      </c>
      <c r="K60" s="88">
        <v>4</v>
      </c>
      <c r="L60" s="120">
        <v>0</v>
      </c>
      <c r="M60" s="88">
        <v>1</v>
      </c>
      <c r="N60" s="218"/>
      <c r="O60" s="276"/>
      <c r="P60" s="295">
        <v>80465</v>
      </c>
      <c r="Q60" s="294"/>
    </row>
    <row r="61" spans="1:18" ht="16.5" x14ac:dyDescent="0.25">
      <c r="A61" s="112"/>
      <c r="B61" s="90"/>
      <c r="C61" s="112"/>
      <c r="D61" s="90"/>
      <c r="E61" s="112"/>
      <c r="F61" s="90"/>
      <c r="G61" s="112"/>
      <c r="H61" s="88"/>
      <c r="I61" s="120"/>
      <c r="J61" s="264"/>
      <c r="K61" s="88"/>
      <c r="L61" s="120"/>
      <c r="M61" s="88"/>
      <c r="N61" s="218"/>
      <c r="O61" s="276"/>
      <c r="P61" s="290"/>
      <c r="Q61" s="276"/>
    </row>
    <row r="62" spans="1:18" ht="16.5" x14ac:dyDescent="0.25">
      <c r="A62" s="112"/>
      <c r="B62" s="85" t="s">
        <v>31</v>
      </c>
      <c r="C62" s="113" t="s">
        <v>31</v>
      </c>
      <c r="D62" s="85"/>
      <c r="E62" s="113" t="s">
        <v>32</v>
      </c>
      <c r="F62" s="85" t="s">
        <v>34</v>
      </c>
      <c r="G62" s="112"/>
      <c r="H62" s="87">
        <v>2</v>
      </c>
      <c r="I62" s="119">
        <v>2</v>
      </c>
      <c r="J62" s="263">
        <v>6</v>
      </c>
      <c r="K62" s="87"/>
      <c r="L62" s="119"/>
      <c r="M62" s="87"/>
      <c r="N62" s="220" t="s">
        <v>66</v>
      </c>
      <c r="O62" s="276"/>
      <c r="P62" s="291">
        <f>+P63+P64</f>
        <v>597827.94000000006</v>
      </c>
      <c r="Q62" s="292">
        <f>+Q63+Q64</f>
        <v>355349.74</v>
      </c>
    </row>
    <row r="63" spans="1:18" ht="16.5" x14ac:dyDescent="0.25">
      <c r="A63" s="112"/>
      <c r="B63" s="90"/>
      <c r="C63" s="112"/>
      <c r="D63" s="90"/>
      <c r="E63" s="112"/>
      <c r="F63" s="90"/>
      <c r="G63" s="112">
        <v>100</v>
      </c>
      <c r="H63" s="88">
        <v>2</v>
      </c>
      <c r="I63" s="120">
        <v>2</v>
      </c>
      <c r="J63" s="264">
        <v>6</v>
      </c>
      <c r="K63" s="88">
        <v>2</v>
      </c>
      <c r="L63" s="120">
        <v>0</v>
      </c>
      <c r="M63" s="88">
        <v>1</v>
      </c>
      <c r="N63" s="218" t="s">
        <v>67</v>
      </c>
      <c r="O63" s="276"/>
      <c r="P63" s="290">
        <v>346342.34</v>
      </c>
      <c r="Q63" s="276">
        <v>331413.78999999998</v>
      </c>
    </row>
    <row r="64" spans="1:18" ht="16.5" x14ac:dyDescent="0.25">
      <c r="A64" s="112"/>
      <c r="B64" s="90"/>
      <c r="C64" s="112"/>
      <c r="D64" s="90"/>
      <c r="E64" s="112"/>
      <c r="F64" s="90"/>
      <c r="G64" s="112">
        <v>100</v>
      </c>
      <c r="H64" s="88">
        <v>2</v>
      </c>
      <c r="I64" s="120">
        <v>2</v>
      </c>
      <c r="J64" s="264">
        <v>6</v>
      </c>
      <c r="K64" s="88">
        <v>3</v>
      </c>
      <c r="L64" s="120">
        <v>0</v>
      </c>
      <c r="M64" s="88">
        <v>1</v>
      </c>
      <c r="N64" s="218" t="s">
        <v>68</v>
      </c>
      <c r="O64" s="276"/>
      <c r="P64" s="290">
        <f>6744.1+9290.37+6021.19+2682.02+222512.92+4235</f>
        <v>251485.6</v>
      </c>
      <c r="Q64" s="276">
        <f>6406.89+8825.85+6021.19+2682.02</f>
        <v>23935.95</v>
      </c>
    </row>
    <row r="65" spans="1:17" ht="16.5" x14ac:dyDescent="0.25">
      <c r="A65" s="112"/>
      <c r="B65" s="90"/>
      <c r="C65" s="112"/>
      <c r="D65" s="90"/>
      <c r="E65" s="112"/>
      <c r="F65" s="90"/>
      <c r="G65" s="112"/>
      <c r="H65" s="88"/>
      <c r="I65" s="120"/>
      <c r="J65" s="264"/>
      <c r="K65" s="88"/>
      <c r="L65" s="120"/>
      <c r="M65" s="88"/>
      <c r="N65" s="218"/>
      <c r="O65" s="276"/>
      <c r="P65" s="290"/>
      <c r="Q65" s="276"/>
    </row>
    <row r="66" spans="1:17" ht="33" x14ac:dyDescent="0.25">
      <c r="A66" s="112"/>
      <c r="B66" s="90"/>
      <c r="C66" s="112"/>
      <c r="D66" s="90"/>
      <c r="E66" s="112"/>
      <c r="F66" s="90"/>
      <c r="G66" s="112"/>
      <c r="H66" s="87">
        <v>2</v>
      </c>
      <c r="I66" s="119">
        <v>2</v>
      </c>
      <c r="J66" s="263">
        <v>7</v>
      </c>
      <c r="K66" s="87"/>
      <c r="L66" s="119"/>
      <c r="M66" s="87"/>
      <c r="N66" s="259" t="s">
        <v>69</v>
      </c>
      <c r="O66" s="292"/>
      <c r="P66" s="291">
        <f>+P67</f>
        <v>342964</v>
      </c>
      <c r="Q66" s="292">
        <f>+Q67</f>
        <v>312736.65999999997</v>
      </c>
    </row>
    <row r="67" spans="1:17" ht="16.5" x14ac:dyDescent="0.25">
      <c r="A67" s="112"/>
      <c r="B67" s="90"/>
      <c r="C67" s="112"/>
      <c r="D67" s="90"/>
      <c r="E67" s="112"/>
      <c r="F67" s="90"/>
      <c r="G67" s="112">
        <v>9995</v>
      </c>
      <c r="H67" s="88">
        <v>2</v>
      </c>
      <c r="I67" s="120">
        <v>2</v>
      </c>
      <c r="J67" s="264">
        <v>7</v>
      </c>
      <c r="K67" s="88">
        <v>2</v>
      </c>
      <c r="L67" s="120">
        <v>0</v>
      </c>
      <c r="M67" s="88">
        <v>1</v>
      </c>
      <c r="N67" s="308" t="s">
        <v>70</v>
      </c>
      <c r="O67" s="276"/>
      <c r="P67" s="290">
        <f>282964+30000+30000</f>
        <v>342964</v>
      </c>
      <c r="Q67" s="276">
        <f>258024.8+27355.93+27355.93</f>
        <v>312736.65999999997</v>
      </c>
    </row>
    <row r="68" spans="1:17" ht="16.5" x14ac:dyDescent="0.25">
      <c r="A68" s="112"/>
      <c r="B68" s="90"/>
      <c r="C68" s="112"/>
      <c r="D68" s="90"/>
      <c r="E68" s="112"/>
      <c r="F68" s="90"/>
      <c r="G68" s="112"/>
      <c r="H68" s="88"/>
      <c r="I68" s="120"/>
      <c r="J68" s="264"/>
      <c r="K68" s="88"/>
      <c r="L68" s="120"/>
      <c r="M68" s="88"/>
      <c r="N68" s="306"/>
      <c r="O68" s="276"/>
      <c r="P68" s="290"/>
      <c r="Q68" s="276"/>
    </row>
    <row r="69" spans="1:17" ht="16.5" x14ac:dyDescent="0.25">
      <c r="A69" s="112"/>
      <c r="B69" s="85" t="s">
        <v>31</v>
      </c>
      <c r="C69" s="113" t="s">
        <v>31</v>
      </c>
      <c r="D69" s="85"/>
      <c r="E69" s="113" t="s">
        <v>32</v>
      </c>
      <c r="F69" s="85" t="s">
        <v>34</v>
      </c>
      <c r="G69" s="112"/>
      <c r="H69" s="87">
        <v>2</v>
      </c>
      <c r="I69" s="119">
        <v>2</v>
      </c>
      <c r="J69" s="263">
        <v>8</v>
      </c>
      <c r="K69" s="87"/>
      <c r="L69" s="119"/>
      <c r="M69" s="87"/>
      <c r="N69" s="307" t="s">
        <v>71</v>
      </c>
      <c r="O69" s="276"/>
      <c r="P69" s="291">
        <f>+P70+P71+P72</f>
        <v>80570</v>
      </c>
      <c r="Q69" s="292">
        <f>+Q70+Q71+Q72</f>
        <v>72127.13</v>
      </c>
    </row>
    <row r="70" spans="1:17" ht="16.5" x14ac:dyDescent="0.25">
      <c r="A70" s="112"/>
      <c r="B70" s="90"/>
      <c r="C70" s="112"/>
      <c r="D70" s="90"/>
      <c r="E70" s="112"/>
      <c r="F70" s="90"/>
      <c r="G70" s="112">
        <v>9995</v>
      </c>
      <c r="H70" s="88">
        <v>2</v>
      </c>
      <c r="I70" s="120">
        <v>2</v>
      </c>
      <c r="J70" s="264">
        <v>8</v>
      </c>
      <c r="K70" s="88">
        <v>4</v>
      </c>
      <c r="L70" s="120">
        <v>0</v>
      </c>
      <c r="M70" s="88">
        <v>1</v>
      </c>
      <c r="N70" s="308" t="s">
        <v>72</v>
      </c>
      <c r="O70" s="276"/>
      <c r="P70" s="290">
        <v>800</v>
      </c>
      <c r="Q70" s="276">
        <v>800</v>
      </c>
    </row>
    <row r="71" spans="1:17" ht="16.5" x14ac:dyDescent="0.25">
      <c r="A71" s="112"/>
      <c r="B71" s="90"/>
      <c r="C71" s="112"/>
      <c r="D71" s="90"/>
      <c r="E71" s="112"/>
      <c r="F71" s="90"/>
      <c r="G71" s="112">
        <v>9995</v>
      </c>
      <c r="H71" s="88">
        <v>2</v>
      </c>
      <c r="I71" s="120">
        <v>2</v>
      </c>
      <c r="J71" s="264">
        <v>8</v>
      </c>
      <c r="K71" s="88">
        <v>7</v>
      </c>
      <c r="L71" s="120">
        <v>0</v>
      </c>
      <c r="M71" s="88">
        <v>1</v>
      </c>
      <c r="N71" s="308" t="s">
        <v>73</v>
      </c>
      <c r="O71" s="276"/>
      <c r="P71" s="290">
        <f>1770+30000+45000</f>
        <v>76770</v>
      </c>
      <c r="Q71" s="276">
        <f>1539+27000+40500</f>
        <v>69039</v>
      </c>
    </row>
    <row r="72" spans="1:17" ht="16.5" x14ac:dyDescent="0.25">
      <c r="A72" s="112"/>
      <c r="B72" s="90"/>
      <c r="C72" s="112"/>
      <c r="D72" s="90"/>
      <c r="E72" s="112"/>
      <c r="F72" s="90"/>
      <c r="G72" s="112">
        <v>9995</v>
      </c>
      <c r="H72" s="88">
        <v>2</v>
      </c>
      <c r="I72" s="120">
        <v>2</v>
      </c>
      <c r="J72" s="264">
        <v>8</v>
      </c>
      <c r="K72" s="88">
        <v>7</v>
      </c>
      <c r="L72" s="120">
        <v>0</v>
      </c>
      <c r="M72" s="88">
        <v>6</v>
      </c>
      <c r="N72" s="308" t="s">
        <v>74</v>
      </c>
      <c r="O72" s="276"/>
      <c r="P72" s="294">
        <v>3000</v>
      </c>
      <c r="Q72" s="294">
        <v>2288.13</v>
      </c>
    </row>
    <row r="73" spans="1:17" ht="16.5" x14ac:dyDescent="0.25">
      <c r="A73" s="112"/>
      <c r="B73" s="90"/>
      <c r="C73" s="112"/>
      <c r="D73" s="90"/>
      <c r="E73" s="112"/>
      <c r="F73" s="90"/>
      <c r="G73" s="112"/>
      <c r="H73" s="88"/>
      <c r="I73" s="120"/>
      <c r="J73" s="264"/>
      <c r="K73" s="88"/>
      <c r="L73" s="120"/>
      <c r="M73" s="88"/>
      <c r="N73" s="260"/>
      <c r="O73" s="276"/>
      <c r="P73" s="290"/>
      <c r="Q73" s="276"/>
    </row>
    <row r="74" spans="1:17" ht="16.5" x14ac:dyDescent="0.25">
      <c r="A74" s="112"/>
      <c r="B74" s="85" t="s">
        <v>31</v>
      </c>
      <c r="C74" s="113" t="s">
        <v>31</v>
      </c>
      <c r="D74" s="85"/>
      <c r="E74" s="113" t="s">
        <v>32</v>
      </c>
      <c r="F74" s="85" t="s">
        <v>34</v>
      </c>
      <c r="G74" s="112"/>
      <c r="H74" s="315">
        <v>2</v>
      </c>
      <c r="I74" s="304">
        <v>3</v>
      </c>
      <c r="J74" s="318"/>
      <c r="K74" s="315"/>
      <c r="L74" s="304"/>
      <c r="M74" s="315"/>
      <c r="N74" s="319" t="s">
        <v>75</v>
      </c>
      <c r="O74" s="298">
        <f>+P74-Q74</f>
        <v>210068.42999999996</v>
      </c>
      <c r="P74" s="299">
        <f>+P76+P79+P83+P86+P89</f>
        <v>307254.21999999997</v>
      </c>
      <c r="Q74" s="298">
        <f>+Q76+Q79+Q83+Q86+Q89</f>
        <v>97185.790000000008</v>
      </c>
    </row>
    <row r="75" spans="1:17" ht="16.5" x14ac:dyDescent="0.25">
      <c r="A75" s="112"/>
      <c r="B75" s="90"/>
      <c r="C75" s="112"/>
      <c r="D75" s="90"/>
      <c r="E75" s="112"/>
      <c r="F75" s="90"/>
      <c r="G75" s="112"/>
      <c r="H75" s="87"/>
      <c r="I75" s="119"/>
      <c r="J75" s="263"/>
      <c r="K75" s="87"/>
      <c r="L75" s="119"/>
      <c r="M75" s="87"/>
      <c r="N75" s="220"/>
      <c r="O75" s="276"/>
      <c r="P75" s="290"/>
      <c r="Q75" s="276"/>
    </row>
    <row r="76" spans="1:17" ht="16.5" x14ac:dyDescent="0.25">
      <c r="A76" s="112"/>
      <c r="B76" s="85" t="s">
        <v>31</v>
      </c>
      <c r="C76" s="113" t="s">
        <v>31</v>
      </c>
      <c r="D76" s="85"/>
      <c r="E76" s="113" t="s">
        <v>32</v>
      </c>
      <c r="F76" s="85" t="s">
        <v>34</v>
      </c>
      <c r="G76" s="112">
        <v>9995</v>
      </c>
      <c r="H76" s="87">
        <v>2</v>
      </c>
      <c r="I76" s="119">
        <v>3</v>
      </c>
      <c r="J76" s="263">
        <v>1</v>
      </c>
      <c r="K76" s="87"/>
      <c r="L76" s="119"/>
      <c r="M76" s="87"/>
      <c r="N76" s="220" t="s">
        <v>76</v>
      </c>
      <c r="O76" s="276"/>
      <c r="P76" s="291">
        <f>+P77</f>
        <v>30227</v>
      </c>
      <c r="Q76" s="292">
        <f>+Q77</f>
        <v>3180</v>
      </c>
    </row>
    <row r="77" spans="1:17" ht="16.5" x14ac:dyDescent="0.25">
      <c r="A77" s="112"/>
      <c r="B77" s="90"/>
      <c r="C77" s="112"/>
      <c r="D77" s="90"/>
      <c r="E77" s="112"/>
      <c r="F77" s="90"/>
      <c r="G77" s="112">
        <v>9995</v>
      </c>
      <c r="H77" s="88">
        <v>2</v>
      </c>
      <c r="I77" s="120">
        <v>3</v>
      </c>
      <c r="J77" s="264">
        <v>1</v>
      </c>
      <c r="K77" s="88">
        <v>1</v>
      </c>
      <c r="L77" s="120">
        <v>0</v>
      </c>
      <c r="M77" s="88">
        <v>1</v>
      </c>
      <c r="N77" s="218" t="s">
        <v>77</v>
      </c>
      <c r="O77" s="276"/>
      <c r="P77" s="290">
        <f>3180+27047</f>
        <v>30227</v>
      </c>
      <c r="Q77" s="276">
        <v>3180</v>
      </c>
    </row>
    <row r="78" spans="1:17" ht="16.5" x14ac:dyDescent="0.25">
      <c r="A78" s="112"/>
      <c r="B78" s="90"/>
      <c r="C78" s="112"/>
      <c r="D78" s="90"/>
      <c r="E78" s="112"/>
      <c r="F78" s="90"/>
      <c r="G78" s="112"/>
      <c r="H78" s="88"/>
      <c r="I78" s="120"/>
      <c r="J78" s="264"/>
      <c r="K78" s="88"/>
      <c r="L78" s="120"/>
      <c r="M78" s="88"/>
      <c r="N78" s="218"/>
      <c r="O78" s="276"/>
      <c r="P78" s="290"/>
      <c r="Q78" s="276"/>
    </row>
    <row r="79" spans="1:17" ht="16.5" x14ac:dyDescent="0.25">
      <c r="A79" s="112"/>
      <c r="B79" s="85" t="s">
        <v>31</v>
      </c>
      <c r="C79" s="113" t="s">
        <v>31</v>
      </c>
      <c r="D79" s="85"/>
      <c r="E79" s="113" t="s">
        <v>32</v>
      </c>
      <c r="F79" s="85" t="s">
        <v>34</v>
      </c>
      <c r="G79" s="112"/>
      <c r="H79" s="87">
        <v>2</v>
      </c>
      <c r="I79" s="119">
        <v>3</v>
      </c>
      <c r="J79" s="263">
        <v>3</v>
      </c>
      <c r="K79" s="87"/>
      <c r="L79" s="119"/>
      <c r="M79" s="87"/>
      <c r="N79" s="220" t="s">
        <v>78</v>
      </c>
      <c r="O79" s="276"/>
      <c r="P79" s="291">
        <f>+P80+P81</f>
        <v>2067.14</v>
      </c>
      <c r="Q79" s="292">
        <f>+Q80+Q81</f>
        <v>2067.14</v>
      </c>
    </row>
    <row r="80" spans="1:17" ht="16.5" x14ac:dyDescent="0.25">
      <c r="A80" s="112"/>
      <c r="B80" s="90"/>
      <c r="C80" s="112"/>
      <c r="D80" s="90"/>
      <c r="E80" s="112"/>
      <c r="F80" s="90"/>
      <c r="G80" s="112">
        <v>9995</v>
      </c>
      <c r="H80" s="88">
        <v>2</v>
      </c>
      <c r="I80" s="120">
        <v>3</v>
      </c>
      <c r="J80" s="264">
        <v>3</v>
      </c>
      <c r="K80" s="88">
        <v>2</v>
      </c>
      <c r="L80" s="120">
        <v>0</v>
      </c>
      <c r="M80" s="88">
        <v>1</v>
      </c>
      <c r="N80" s="218" t="s">
        <v>79</v>
      </c>
      <c r="O80" s="276"/>
      <c r="P80" s="290">
        <f>420+1338.77</f>
        <v>1758.77</v>
      </c>
      <c r="Q80" s="276">
        <f>420+1338.77</f>
        <v>1758.77</v>
      </c>
    </row>
    <row r="81" spans="1:19" ht="16.5" x14ac:dyDescent="0.25">
      <c r="A81" s="112"/>
      <c r="B81" s="90"/>
      <c r="C81" s="112"/>
      <c r="D81" s="90"/>
      <c r="E81" s="112"/>
      <c r="F81" s="90"/>
      <c r="G81" s="112">
        <v>9995</v>
      </c>
      <c r="H81" s="88">
        <v>2</v>
      </c>
      <c r="I81" s="120">
        <v>3</v>
      </c>
      <c r="J81" s="264">
        <v>3</v>
      </c>
      <c r="K81" s="88">
        <v>4</v>
      </c>
      <c r="L81" s="120">
        <v>0</v>
      </c>
      <c r="M81" s="88">
        <v>1</v>
      </c>
      <c r="N81" s="218" t="s">
        <v>80</v>
      </c>
      <c r="O81" s="276"/>
      <c r="P81" s="290">
        <v>308.37</v>
      </c>
      <c r="Q81" s="276">
        <v>308.37</v>
      </c>
    </row>
    <row r="82" spans="1:19" ht="16.5" x14ac:dyDescent="0.25">
      <c r="A82" s="112"/>
      <c r="B82" s="90"/>
      <c r="C82" s="112"/>
      <c r="D82" s="90"/>
      <c r="E82" s="112"/>
      <c r="F82" s="90"/>
      <c r="G82" s="112"/>
      <c r="H82" s="88"/>
      <c r="I82" s="120"/>
      <c r="J82" s="264"/>
      <c r="K82" s="88"/>
      <c r="L82" s="120"/>
      <c r="M82" s="88"/>
      <c r="N82" s="218"/>
      <c r="O82" s="276"/>
      <c r="P82" s="290"/>
      <c r="Q82" s="276"/>
    </row>
    <row r="83" spans="1:19" ht="16.5" x14ac:dyDescent="0.25">
      <c r="A83" s="112"/>
      <c r="B83" s="85" t="s">
        <v>31</v>
      </c>
      <c r="C83" s="113" t="s">
        <v>31</v>
      </c>
      <c r="D83" s="85"/>
      <c r="E83" s="113" t="s">
        <v>32</v>
      </c>
      <c r="F83" s="85" t="s">
        <v>34</v>
      </c>
      <c r="G83" s="112"/>
      <c r="H83" s="87">
        <v>2</v>
      </c>
      <c r="I83" s="119">
        <v>3</v>
      </c>
      <c r="J83" s="263">
        <v>5</v>
      </c>
      <c r="K83" s="87"/>
      <c r="L83" s="119"/>
      <c r="M83" s="87"/>
      <c r="N83" s="220" t="s">
        <v>81</v>
      </c>
      <c r="O83" s="276"/>
      <c r="P83" s="291">
        <f>+P84</f>
        <v>29680.5</v>
      </c>
      <c r="Q83" s="292">
        <f>+Q84</f>
        <v>29680.5</v>
      </c>
    </row>
    <row r="84" spans="1:19" ht="16.5" x14ac:dyDescent="0.25">
      <c r="A84" s="112"/>
      <c r="B84" s="90"/>
      <c r="C84" s="112"/>
      <c r="D84" s="90"/>
      <c r="E84" s="112"/>
      <c r="F84" s="90"/>
      <c r="G84" s="112">
        <v>9995</v>
      </c>
      <c r="H84" s="88">
        <v>2</v>
      </c>
      <c r="I84" s="120">
        <v>3</v>
      </c>
      <c r="J84" s="264">
        <v>5</v>
      </c>
      <c r="K84" s="88">
        <v>4</v>
      </c>
      <c r="L84" s="120">
        <v>0</v>
      </c>
      <c r="M84" s="88">
        <v>1</v>
      </c>
      <c r="N84" s="218" t="s">
        <v>82</v>
      </c>
      <c r="O84" s="276"/>
      <c r="P84" s="290">
        <v>29680.5</v>
      </c>
      <c r="Q84" s="276">
        <v>29680.5</v>
      </c>
    </row>
    <row r="85" spans="1:19" ht="16.5" x14ac:dyDescent="0.25">
      <c r="A85" s="112"/>
      <c r="B85" s="90"/>
      <c r="C85" s="112"/>
      <c r="D85" s="90"/>
      <c r="E85" s="112"/>
      <c r="F85" s="90"/>
      <c r="G85" s="112"/>
      <c r="H85" s="88"/>
      <c r="I85" s="120"/>
      <c r="J85" s="264"/>
      <c r="K85" s="88"/>
      <c r="L85" s="120"/>
      <c r="M85" s="88"/>
      <c r="N85" s="218"/>
      <c r="O85" s="276"/>
      <c r="P85" s="290"/>
      <c r="Q85" s="276"/>
    </row>
    <row r="86" spans="1:19" ht="33" x14ac:dyDescent="0.25">
      <c r="A86" s="112"/>
      <c r="B86" s="85" t="s">
        <v>31</v>
      </c>
      <c r="C86" s="113" t="s">
        <v>31</v>
      </c>
      <c r="D86" s="85"/>
      <c r="E86" s="113" t="s">
        <v>32</v>
      </c>
      <c r="F86" s="85" t="s">
        <v>34</v>
      </c>
      <c r="G86" s="112"/>
      <c r="H86" s="87">
        <v>2</v>
      </c>
      <c r="I86" s="119">
        <v>3</v>
      </c>
      <c r="J86" s="263">
        <v>6</v>
      </c>
      <c r="K86" s="87"/>
      <c r="L86" s="119"/>
      <c r="M86" s="87"/>
      <c r="N86" s="261" t="s">
        <v>83</v>
      </c>
      <c r="O86" s="276"/>
      <c r="P86" s="326">
        <f>+P87</f>
        <v>54376.62</v>
      </c>
      <c r="Q86" s="327">
        <f>+Q87</f>
        <v>50758.15</v>
      </c>
    </row>
    <row r="87" spans="1:19" ht="16.5" x14ac:dyDescent="0.25">
      <c r="A87" s="112"/>
      <c r="B87" s="90"/>
      <c r="C87" s="112"/>
      <c r="D87" s="90"/>
      <c r="E87" s="112"/>
      <c r="F87" s="90"/>
      <c r="G87" s="112">
        <v>9995</v>
      </c>
      <c r="H87" s="88">
        <v>2</v>
      </c>
      <c r="I87" s="120">
        <v>3</v>
      </c>
      <c r="J87" s="264">
        <v>6</v>
      </c>
      <c r="K87" s="265">
        <v>3</v>
      </c>
      <c r="L87" s="88">
        <v>0</v>
      </c>
      <c r="M87" s="219">
        <v>1</v>
      </c>
      <c r="N87" s="88" t="s">
        <v>84</v>
      </c>
      <c r="O87" s="276"/>
      <c r="P87" s="290">
        <v>54376.62</v>
      </c>
      <c r="Q87" s="276">
        <v>50758.15</v>
      </c>
    </row>
    <row r="88" spans="1:19" ht="17.25" thickBot="1" x14ac:dyDescent="0.3">
      <c r="A88" s="117"/>
      <c r="B88" s="118"/>
      <c r="C88" s="117"/>
      <c r="D88" s="118"/>
      <c r="E88" s="117"/>
      <c r="F88" s="118"/>
      <c r="G88" s="117"/>
      <c r="H88" s="89"/>
      <c r="I88" s="121"/>
      <c r="J88" s="89"/>
      <c r="K88" s="266"/>
      <c r="L88" s="89"/>
      <c r="M88" s="266"/>
      <c r="N88" s="89"/>
      <c r="O88" s="302"/>
      <c r="P88" s="303"/>
      <c r="Q88" s="302"/>
      <c r="R88" s="11"/>
    </row>
    <row r="89" spans="1:19" ht="33" x14ac:dyDescent="0.25">
      <c r="A89" s="193"/>
      <c r="B89" s="86" t="s">
        <v>31</v>
      </c>
      <c r="C89" s="116" t="s">
        <v>31</v>
      </c>
      <c r="D89" s="86"/>
      <c r="E89" s="116" t="s">
        <v>32</v>
      </c>
      <c r="F89" s="86" t="s">
        <v>34</v>
      </c>
      <c r="G89" s="193"/>
      <c r="H89" s="194">
        <v>2</v>
      </c>
      <c r="I89" s="195">
        <v>3</v>
      </c>
      <c r="J89" s="194">
        <v>7</v>
      </c>
      <c r="K89" s="195"/>
      <c r="L89" s="194"/>
      <c r="M89" s="195"/>
      <c r="N89" s="240" t="s">
        <v>85</v>
      </c>
      <c r="O89" s="241"/>
      <c r="P89" s="186">
        <f>+P90</f>
        <v>190902.96</v>
      </c>
      <c r="Q89" s="186">
        <f>+Q90</f>
        <v>11500</v>
      </c>
    </row>
    <row r="90" spans="1:19" ht="16.5" x14ac:dyDescent="0.25">
      <c r="A90" s="112"/>
      <c r="B90" s="90"/>
      <c r="C90" s="112"/>
      <c r="D90" s="90"/>
      <c r="E90" s="112"/>
      <c r="F90" s="90"/>
      <c r="G90" s="112">
        <v>9995</v>
      </c>
      <c r="H90" s="120">
        <v>2</v>
      </c>
      <c r="I90" s="88">
        <v>3</v>
      </c>
      <c r="J90" s="120">
        <v>7</v>
      </c>
      <c r="K90" s="88">
        <v>1</v>
      </c>
      <c r="L90" s="120">
        <v>0</v>
      </c>
      <c r="M90" s="88">
        <v>1</v>
      </c>
      <c r="N90" s="120" t="s">
        <v>86</v>
      </c>
      <c r="O90" s="179"/>
      <c r="P90" s="294">
        <f>4000+3500+2000+179402.96+2000</f>
        <v>190902.96</v>
      </c>
      <c r="Q90" s="294">
        <f>4000+3500+2000+2000</f>
        <v>11500</v>
      </c>
    </row>
    <row r="91" spans="1:19" ht="16.5" x14ac:dyDescent="0.25">
      <c r="A91" s="112"/>
      <c r="B91" s="90"/>
      <c r="C91" s="112"/>
      <c r="D91" s="90"/>
      <c r="E91" s="112"/>
      <c r="F91" s="90"/>
      <c r="G91" s="112"/>
      <c r="H91" s="120"/>
      <c r="I91" s="88"/>
      <c r="J91" s="120"/>
      <c r="K91" s="88"/>
      <c r="L91" s="120"/>
      <c r="M91" s="88"/>
      <c r="N91" s="120"/>
      <c r="O91" s="179"/>
      <c r="P91" s="294"/>
      <c r="Q91" s="294"/>
    </row>
    <row r="92" spans="1:19" ht="16.5" x14ac:dyDescent="0.25">
      <c r="A92" s="112"/>
      <c r="B92" s="90"/>
      <c r="C92" s="112"/>
      <c r="D92" s="90"/>
      <c r="E92" s="112"/>
      <c r="F92" s="90"/>
      <c r="G92" s="112"/>
      <c r="H92" s="304">
        <v>2</v>
      </c>
      <c r="I92" s="315">
        <v>4</v>
      </c>
      <c r="J92" s="304"/>
      <c r="K92" s="315"/>
      <c r="L92" s="304"/>
      <c r="M92" s="315"/>
      <c r="N92" s="304" t="s">
        <v>87</v>
      </c>
      <c r="O92" s="305">
        <f>+P92-Q92</f>
        <v>0</v>
      </c>
      <c r="P92" s="298">
        <f>+P94</f>
        <v>2686009.19</v>
      </c>
      <c r="Q92" s="298">
        <f>+Q94</f>
        <v>2686009.19</v>
      </c>
    </row>
    <row r="93" spans="1:19" ht="16.5" x14ac:dyDescent="0.25">
      <c r="A93" s="112"/>
      <c r="B93" s="90"/>
      <c r="C93" s="112"/>
      <c r="D93" s="90"/>
      <c r="E93" s="112"/>
      <c r="F93" s="90"/>
      <c r="G93" s="112"/>
      <c r="H93" s="120"/>
      <c r="I93" s="88"/>
      <c r="J93" s="120"/>
      <c r="K93" s="88"/>
      <c r="L93" s="120"/>
      <c r="M93" s="88"/>
      <c r="N93" s="120"/>
      <c r="O93" s="179"/>
      <c r="P93" s="124"/>
      <c r="Q93" s="124"/>
    </row>
    <row r="94" spans="1:19" ht="33" x14ac:dyDescent="0.25">
      <c r="A94" s="112"/>
      <c r="B94" s="90"/>
      <c r="C94" s="112"/>
      <c r="D94" s="90"/>
      <c r="E94" s="112"/>
      <c r="F94" s="90"/>
      <c r="G94" s="112"/>
      <c r="H94" s="119">
        <v>2</v>
      </c>
      <c r="I94" s="87">
        <v>4</v>
      </c>
      <c r="J94" s="119">
        <v>4</v>
      </c>
      <c r="K94" s="87"/>
      <c r="L94" s="119"/>
      <c r="M94" s="87"/>
      <c r="N94" s="192" t="s">
        <v>88</v>
      </c>
      <c r="O94" s="230"/>
      <c r="P94" s="123">
        <f>+P95</f>
        <v>2686009.19</v>
      </c>
      <c r="Q94" s="123">
        <f>+Q95</f>
        <v>2686009.19</v>
      </c>
      <c r="R94" s="48"/>
      <c r="S94" s="48"/>
    </row>
    <row r="95" spans="1:19" ht="16.5" x14ac:dyDescent="0.25">
      <c r="A95" s="112"/>
      <c r="B95" s="90"/>
      <c r="C95" s="112"/>
      <c r="D95" s="90"/>
      <c r="E95" s="112"/>
      <c r="F95" s="90"/>
      <c r="G95" s="112">
        <v>9995</v>
      </c>
      <c r="H95" s="180">
        <v>2</v>
      </c>
      <c r="I95" s="106">
        <v>4</v>
      </c>
      <c r="J95" s="133">
        <v>4</v>
      </c>
      <c r="K95" s="106">
        <v>1</v>
      </c>
      <c r="L95" s="133">
        <v>0</v>
      </c>
      <c r="M95" s="106">
        <v>2</v>
      </c>
      <c r="N95" s="180" t="s">
        <v>89</v>
      </c>
      <c r="O95" s="179"/>
      <c r="P95" s="124">
        <f>+'relacion ingresos'!B37+'relacion ingresos'!F36</f>
        <v>2686009.19</v>
      </c>
      <c r="Q95" s="124">
        <f>+P95</f>
        <v>2686009.19</v>
      </c>
    </row>
    <row r="96" spans="1:19" ht="16.5" x14ac:dyDescent="0.25">
      <c r="A96" s="112"/>
      <c r="B96" s="90"/>
      <c r="C96" s="112"/>
      <c r="D96" s="90"/>
      <c r="E96" s="112"/>
      <c r="F96" s="90"/>
      <c r="G96" s="112"/>
      <c r="H96" s="180"/>
      <c r="I96" s="106"/>
      <c r="J96" s="133"/>
      <c r="K96" s="106"/>
      <c r="L96" s="133"/>
      <c r="M96" s="106"/>
      <c r="N96" s="180"/>
      <c r="O96" s="179"/>
      <c r="P96" s="124"/>
      <c r="Q96" s="124"/>
    </row>
    <row r="97" spans="1:17" ht="16.5" x14ac:dyDescent="0.25">
      <c r="A97" s="112"/>
      <c r="B97" s="90"/>
      <c r="C97" s="112"/>
      <c r="D97" s="90"/>
      <c r="E97" s="112"/>
      <c r="F97" s="90"/>
      <c r="G97" s="112"/>
      <c r="H97" s="332">
        <v>2</v>
      </c>
      <c r="I97" s="333">
        <v>6</v>
      </c>
      <c r="J97" s="334"/>
      <c r="K97" s="335"/>
      <c r="L97" s="334"/>
      <c r="M97" s="335"/>
      <c r="N97" s="332" t="s">
        <v>90</v>
      </c>
      <c r="O97" s="305">
        <f>+P97-Q97</f>
        <v>243618.69</v>
      </c>
      <c r="P97" s="298">
        <f>+P99+P102</f>
        <v>243618.69</v>
      </c>
      <c r="Q97" s="124"/>
    </row>
    <row r="98" spans="1:17" ht="16.5" x14ac:dyDescent="0.25">
      <c r="A98" s="112"/>
      <c r="B98" s="90"/>
      <c r="C98" s="112"/>
      <c r="D98" s="90"/>
      <c r="E98" s="112"/>
      <c r="F98" s="90"/>
      <c r="G98" s="112"/>
      <c r="H98" s="156"/>
      <c r="I98" s="105"/>
      <c r="J98" s="133"/>
      <c r="K98" s="106"/>
      <c r="L98" s="133"/>
      <c r="M98" s="106"/>
      <c r="N98" s="156"/>
      <c r="O98" s="179"/>
      <c r="P98" s="123"/>
      <c r="Q98" s="124"/>
    </row>
    <row r="99" spans="1:17" ht="16.5" x14ac:dyDescent="0.25">
      <c r="A99" s="112"/>
      <c r="B99" s="90"/>
      <c r="C99" s="112"/>
      <c r="D99" s="90"/>
      <c r="E99" s="112"/>
      <c r="F99" s="90"/>
      <c r="G99" s="112"/>
      <c r="H99" s="156">
        <v>2</v>
      </c>
      <c r="I99" s="105">
        <v>6</v>
      </c>
      <c r="J99" s="132">
        <v>1</v>
      </c>
      <c r="K99" s="106"/>
      <c r="L99" s="133"/>
      <c r="M99" s="106"/>
      <c r="N99" s="156" t="s">
        <v>91</v>
      </c>
      <c r="O99" s="179"/>
      <c r="P99" s="123">
        <f>+P100</f>
        <v>239636.19</v>
      </c>
      <c r="Q99" s="124"/>
    </row>
    <row r="100" spans="1:17" ht="16.5" x14ac:dyDescent="0.25">
      <c r="A100" s="112"/>
      <c r="B100" s="90"/>
      <c r="C100" s="112"/>
      <c r="D100" s="90"/>
      <c r="E100" s="112"/>
      <c r="F100" s="90"/>
      <c r="G100" s="112"/>
      <c r="H100" s="180">
        <v>2</v>
      </c>
      <c r="I100" s="106">
        <v>6</v>
      </c>
      <c r="J100" s="133">
        <v>1</v>
      </c>
      <c r="K100" s="106">
        <v>1</v>
      </c>
      <c r="L100" s="133">
        <v>0</v>
      </c>
      <c r="M100" s="106">
        <v>1</v>
      </c>
      <c r="N100" s="133" t="s">
        <v>92</v>
      </c>
      <c r="O100" s="179"/>
      <c r="P100" s="124">
        <v>239636.19</v>
      </c>
      <c r="Q100" s="124"/>
    </row>
    <row r="101" spans="1:17" ht="16.5" x14ac:dyDescent="0.25">
      <c r="A101" s="112"/>
      <c r="B101" s="90"/>
      <c r="C101" s="112"/>
      <c r="D101" s="90"/>
      <c r="E101" s="112"/>
      <c r="F101" s="90"/>
      <c r="G101" s="112"/>
      <c r="H101" s="156"/>
      <c r="I101" s="105"/>
      <c r="J101" s="133"/>
      <c r="K101" s="106"/>
      <c r="L101" s="133"/>
      <c r="M101" s="106"/>
      <c r="N101" s="156"/>
      <c r="O101" s="179"/>
      <c r="P101" s="124"/>
      <c r="Q101" s="124"/>
    </row>
    <row r="102" spans="1:17" ht="16.5" x14ac:dyDescent="0.25">
      <c r="A102" s="112"/>
      <c r="B102" s="90"/>
      <c r="C102" s="112"/>
      <c r="D102" s="90"/>
      <c r="E102" s="112"/>
      <c r="F102" s="90"/>
      <c r="G102" s="112"/>
      <c r="H102" s="156">
        <v>2</v>
      </c>
      <c r="I102" s="105">
        <v>6</v>
      </c>
      <c r="J102" s="132">
        <v>5</v>
      </c>
      <c r="K102" s="106"/>
      <c r="L102" s="133"/>
      <c r="M102" s="106"/>
      <c r="N102" s="156" t="s">
        <v>93</v>
      </c>
      <c r="O102" s="179"/>
      <c r="P102" s="123">
        <f>+P103</f>
        <v>3982.5</v>
      </c>
      <c r="Q102" s="124"/>
    </row>
    <row r="103" spans="1:17" ht="16.5" x14ac:dyDescent="0.25">
      <c r="A103" s="112"/>
      <c r="B103" s="90"/>
      <c r="C103" s="112"/>
      <c r="D103" s="90"/>
      <c r="E103" s="112"/>
      <c r="F103" s="90"/>
      <c r="G103" s="112"/>
      <c r="H103" s="180">
        <v>2</v>
      </c>
      <c r="I103" s="106">
        <v>6</v>
      </c>
      <c r="J103" s="133">
        <v>5</v>
      </c>
      <c r="K103" s="106">
        <v>1</v>
      </c>
      <c r="L103" s="133">
        <v>0</v>
      </c>
      <c r="M103" s="106">
        <v>1</v>
      </c>
      <c r="N103" s="133" t="s">
        <v>94</v>
      </c>
      <c r="O103" s="179"/>
      <c r="P103" s="124">
        <v>3982.5</v>
      </c>
      <c r="Q103" s="124"/>
    </row>
    <row r="104" spans="1:17" ht="17.25" thickBot="1" x14ac:dyDescent="0.3">
      <c r="A104" s="117"/>
      <c r="B104" s="118"/>
      <c r="C104" s="117"/>
      <c r="D104" s="118"/>
      <c r="E104" s="117"/>
      <c r="F104" s="118"/>
      <c r="G104" s="117"/>
      <c r="H104" s="121"/>
      <c r="I104" s="89"/>
      <c r="J104" s="121"/>
      <c r="K104" s="89"/>
      <c r="L104" s="121"/>
      <c r="M104" s="89"/>
      <c r="N104" s="121"/>
      <c r="O104" s="185"/>
      <c r="P104" s="125"/>
      <c r="Q104" s="125"/>
    </row>
    <row r="105" spans="1:17" ht="17.25" thickBot="1" x14ac:dyDescent="0.3">
      <c r="A105" s="580" t="s">
        <v>95</v>
      </c>
      <c r="B105" s="581"/>
      <c r="C105" s="581"/>
      <c r="D105" s="581"/>
      <c r="E105" s="581"/>
      <c r="F105" s="581"/>
      <c r="G105" s="581"/>
      <c r="H105" s="581"/>
      <c r="I105" s="581"/>
      <c r="J105" s="581"/>
      <c r="K105" s="581"/>
      <c r="L105" s="582"/>
      <c r="M105" s="496" t="s">
        <v>96</v>
      </c>
      <c r="N105" s="496"/>
      <c r="O105" s="181">
        <f>+O97+O92+O74+O37+O16</f>
        <v>1619027.54</v>
      </c>
      <c r="P105" s="239">
        <f>+P97+P92+P74+P37+P16</f>
        <v>7765188.1799999997</v>
      </c>
      <c r="Q105" s="239">
        <f>+Q92+Q74+Q37+Q16</f>
        <v>6146160.6399999987</v>
      </c>
    </row>
    <row r="106" spans="1:17" ht="17.25" thickTop="1" x14ac:dyDescent="0.25">
      <c r="A106" s="90"/>
      <c r="B106" s="90"/>
      <c r="C106" s="90"/>
      <c r="D106" s="90"/>
      <c r="E106" s="90"/>
      <c r="F106" s="90"/>
      <c r="G106" s="90"/>
      <c r="H106" s="85"/>
      <c r="I106" s="85"/>
      <c r="J106" s="85"/>
      <c r="K106" s="85"/>
      <c r="L106" s="85"/>
      <c r="M106" s="85"/>
      <c r="N106" s="85"/>
      <c r="O106" s="187"/>
      <c r="P106" s="92"/>
      <c r="Q106" s="291"/>
    </row>
    <row r="107" spans="1:17" ht="16.5" x14ac:dyDescent="0.25">
      <c r="A107" s="90"/>
      <c r="B107" s="90"/>
      <c r="C107" s="90"/>
      <c r="D107" s="90"/>
      <c r="E107" s="90"/>
      <c r="F107" s="90"/>
      <c r="G107" s="90"/>
      <c r="H107" s="85"/>
      <c r="I107" s="85"/>
      <c r="J107" s="85"/>
      <c r="K107" s="85"/>
      <c r="L107" s="85"/>
      <c r="M107" s="85"/>
      <c r="N107" s="85"/>
      <c r="O107" s="85"/>
      <c r="P107" s="91"/>
      <c r="Q107" s="92"/>
    </row>
    <row r="108" spans="1:17" ht="16.5" x14ac:dyDescent="0.25">
      <c r="A108" s="90"/>
      <c r="B108" s="90"/>
      <c r="C108" s="90"/>
      <c r="D108" s="90"/>
      <c r="E108" s="90"/>
      <c r="F108" s="90"/>
      <c r="G108" s="90"/>
      <c r="H108" s="85"/>
      <c r="I108" s="85"/>
      <c r="J108" s="85"/>
      <c r="K108" s="85"/>
      <c r="L108" s="85"/>
      <c r="M108" s="85"/>
      <c r="N108" s="85"/>
      <c r="O108" s="85"/>
      <c r="P108" s="91"/>
      <c r="Q108" s="92"/>
    </row>
    <row r="109" spans="1:17" ht="16.5" x14ac:dyDescent="0.25">
      <c r="A109" s="90"/>
      <c r="B109" s="90"/>
      <c r="C109" s="90"/>
      <c r="D109" s="90"/>
      <c r="E109" s="90"/>
      <c r="F109" s="90"/>
      <c r="G109" s="90"/>
      <c r="H109" s="85"/>
      <c r="I109" s="85"/>
      <c r="J109" s="85"/>
      <c r="K109" s="85"/>
      <c r="L109" s="85"/>
      <c r="M109" s="85"/>
      <c r="N109" s="85"/>
      <c r="O109" s="85"/>
      <c r="P109" s="91"/>
      <c r="Q109" s="92"/>
    </row>
    <row r="110" spans="1:17" ht="16.5" x14ac:dyDescent="0.25">
      <c r="A110" s="90"/>
      <c r="B110" s="90"/>
      <c r="C110" s="90"/>
      <c r="D110" s="90"/>
      <c r="E110" s="90"/>
      <c r="F110" s="90"/>
      <c r="G110" s="90"/>
      <c r="H110" s="85"/>
      <c r="I110" s="85"/>
      <c r="J110" s="85"/>
      <c r="K110" s="85"/>
      <c r="L110" s="85"/>
      <c r="M110" s="85"/>
      <c r="N110" s="85"/>
      <c r="O110" s="85"/>
      <c r="P110" s="91"/>
      <c r="Q110" s="92"/>
    </row>
    <row r="111" spans="1:17" ht="16.5" x14ac:dyDescent="0.25">
      <c r="A111" s="90"/>
      <c r="B111" s="90"/>
      <c r="C111" s="90"/>
      <c r="D111" s="90"/>
      <c r="E111" s="90"/>
      <c r="F111" s="90"/>
      <c r="G111" s="90"/>
      <c r="H111" s="85"/>
      <c r="I111" s="85"/>
      <c r="J111" s="85"/>
      <c r="K111" s="85"/>
      <c r="L111" s="85"/>
      <c r="M111" s="85"/>
      <c r="N111" s="85"/>
      <c r="O111" s="85"/>
      <c r="P111" s="91"/>
      <c r="Q111" s="92"/>
    </row>
    <row r="112" spans="1:17" ht="16.5" x14ac:dyDescent="0.25">
      <c r="A112" s="222"/>
      <c r="B112" s="222"/>
      <c r="C112" s="222"/>
      <c r="D112" s="222"/>
      <c r="E112" s="222"/>
      <c r="F112" s="222"/>
      <c r="G112" s="222"/>
      <c r="H112" s="93"/>
      <c r="I112" s="85"/>
      <c r="J112" s="85"/>
      <c r="K112" s="85"/>
      <c r="L112" s="85"/>
      <c r="M112" s="85"/>
      <c r="N112" s="93"/>
      <c r="O112" s="93"/>
      <c r="P112" s="94"/>
      <c r="Q112" s="95"/>
    </row>
    <row r="113" spans="1:17" ht="16.5" x14ac:dyDescent="0.25">
      <c r="A113" s="526" t="s">
        <v>97</v>
      </c>
      <c r="B113" s="526"/>
      <c r="C113" s="526"/>
      <c r="D113" s="526"/>
      <c r="E113" s="526"/>
      <c r="F113" s="526"/>
      <c r="G113" s="526"/>
      <c r="H113" s="526"/>
      <c r="I113" s="526"/>
      <c r="J113" s="85"/>
      <c r="K113" s="85"/>
      <c r="L113" s="85"/>
      <c r="M113" s="85"/>
      <c r="N113" s="497" t="s">
        <v>98</v>
      </c>
      <c r="O113" s="543" t="s">
        <v>99</v>
      </c>
      <c r="P113" s="543"/>
      <c r="Q113" s="543"/>
    </row>
    <row r="114" spans="1:17" ht="16.5" x14ac:dyDescent="0.25">
      <c r="A114" s="497"/>
      <c r="B114" s="497"/>
      <c r="C114" s="497"/>
      <c r="D114" s="497"/>
      <c r="E114" s="497"/>
      <c r="F114" s="497"/>
      <c r="G114" s="497"/>
      <c r="H114" s="497"/>
      <c r="I114" s="497"/>
      <c r="J114" s="497"/>
      <c r="K114" s="497"/>
      <c r="L114" s="497"/>
      <c r="M114" s="497"/>
      <c r="N114" s="497"/>
      <c r="O114" s="96"/>
      <c r="P114" s="97"/>
      <c r="Q114" s="97"/>
    </row>
    <row r="115" spans="1:17" ht="16.5" x14ac:dyDescent="0.25">
      <c r="A115" s="497"/>
      <c r="B115" s="497"/>
      <c r="C115" s="497"/>
      <c r="D115" s="497"/>
      <c r="E115" s="497"/>
      <c r="F115" s="497"/>
      <c r="G115" s="497"/>
      <c r="H115" s="497"/>
      <c r="I115" s="497"/>
      <c r="J115" s="497"/>
      <c r="K115" s="497"/>
      <c r="L115" s="497"/>
      <c r="M115" s="497"/>
      <c r="N115" s="497"/>
      <c r="O115" s="96"/>
      <c r="P115" s="97"/>
      <c r="Q115" s="97"/>
    </row>
    <row r="116" spans="1:17" ht="16.5" x14ac:dyDescent="0.25">
      <c r="A116" s="497"/>
      <c r="B116" s="497"/>
      <c r="C116" s="497"/>
      <c r="D116" s="497"/>
      <c r="E116" s="497"/>
      <c r="F116" s="497"/>
      <c r="G116" s="497"/>
      <c r="H116" s="497"/>
      <c r="I116" s="497"/>
      <c r="J116" s="497"/>
      <c r="K116" s="497"/>
      <c r="L116" s="497"/>
      <c r="M116" s="497"/>
      <c r="N116" s="497"/>
      <c r="O116" s="96"/>
      <c r="P116" s="97"/>
      <c r="Q116" s="97"/>
    </row>
    <row r="117" spans="1:17" ht="16.5" x14ac:dyDescent="0.25">
      <c r="A117" s="543"/>
      <c r="B117" s="543"/>
      <c r="C117" s="543"/>
      <c r="D117" s="543"/>
      <c r="E117" s="543"/>
      <c r="F117" s="223"/>
      <c r="G117" s="223"/>
      <c r="H117" s="223"/>
      <c r="I117" s="224"/>
      <c r="J117" s="224"/>
      <c r="K117" s="224"/>
      <c r="L117" s="224"/>
      <c r="M117" s="224"/>
      <c r="N117" s="224"/>
      <c r="O117" s="96"/>
      <c r="P117" s="97"/>
      <c r="Q117" s="97"/>
    </row>
    <row r="118" spans="1:17" ht="16.5" x14ac:dyDescent="0.25">
      <c r="A118" s="498"/>
      <c r="B118" s="498"/>
      <c r="C118" s="498"/>
      <c r="D118" s="498"/>
      <c r="E118" s="498"/>
      <c r="F118" s="225"/>
      <c r="G118" s="225"/>
      <c r="H118" s="225"/>
      <c r="I118" s="498"/>
      <c r="J118" s="498"/>
      <c r="K118" s="498"/>
      <c r="L118" s="498"/>
      <c r="M118" s="498"/>
      <c r="N118" s="498"/>
      <c r="O118" s="498"/>
      <c r="P118" s="498"/>
      <c r="Q118" s="498"/>
    </row>
    <row r="119" spans="1:17" ht="16.5" x14ac:dyDescent="0.25">
      <c r="A119" s="498"/>
      <c r="B119" s="498"/>
      <c r="C119" s="498"/>
      <c r="D119" s="498"/>
      <c r="E119" s="498"/>
      <c r="F119" s="225"/>
      <c r="G119" s="225"/>
      <c r="H119" s="225"/>
      <c r="I119" s="498"/>
      <c r="J119" s="498"/>
      <c r="K119" s="498"/>
      <c r="L119" s="498"/>
      <c r="M119" s="498"/>
      <c r="N119" s="498"/>
      <c r="O119" s="498"/>
      <c r="P119" s="498"/>
      <c r="Q119" s="498"/>
    </row>
    <row r="120" spans="1:17" ht="16.5" x14ac:dyDescent="0.25">
      <c r="A120" s="498"/>
      <c r="B120" s="498"/>
      <c r="C120" s="498"/>
      <c r="D120" s="498"/>
      <c r="E120" s="498"/>
      <c r="F120" s="225"/>
      <c r="G120" s="225"/>
      <c r="H120" s="225"/>
      <c r="I120" s="498"/>
      <c r="J120" s="498"/>
      <c r="K120" s="498"/>
      <c r="L120" s="498"/>
      <c r="M120" s="498"/>
      <c r="N120" s="498"/>
      <c r="O120" s="498"/>
      <c r="P120" s="498"/>
      <c r="Q120" s="498"/>
    </row>
    <row r="121" spans="1:17" ht="16.5" x14ac:dyDescent="0.25">
      <c r="A121" s="498"/>
      <c r="B121" s="498"/>
      <c r="C121" s="498"/>
      <c r="D121" s="498"/>
      <c r="E121" s="498"/>
      <c r="F121" s="225"/>
      <c r="G121" s="225"/>
      <c r="H121" s="225"/>
      <c r="I121" s="498"/>
      <c r="J121" s="498"/>
      <c r="K121" s="498"/>
      <c r="L121" s="498"/>
      <c r="M121" s="498"/>
      <c r="N121" s="498"/>
      <c r="O121" s="498"/>
      <c r="P121" s="498"/>
      <c r="Q121" s="498"/>
    </row>
    <row r="122" spans="1:17" ht="16.5" x14ac:dyDescent="0.25">
      <c r="A122" s="498"/>
      <c r="B122" s="498"/>
      <c r="C122" s="498"/>
      <c r="D122" s="498"/>
      <c r="E122" s="498"/>
      <c r="F122" s="225"/>
      <c r="G122" s="225"/>
      <c r="H122" s="225"/>
      <c r="I122" s="498"/>
      <c r="J122" s="498"/>
      <c r="K122" s="498"/>
      <c r="L122" s="498"/>
      <c r="M122" s="498"/>
      <c r="N122" s="498"/>
      <c r="O122" s="498"/>
      <c r="P122" s="498"/>
      <c r="Q122" s="498"/>
    </row>
    <row r="123" spans="1:17" ht="16.5" x14ac:dyDescent="0.25">
      <c r="A123" s="498"/>
      <c r="B123" s="498"/>
      <c r="C123" s="498"/>
      <c r="D123" s="498"/>
      <c r="E123" s="498"/>
      <c r="F123" s="225"/>
      <c r="G123" s="225"/>
      <c r="H123" s="225"/>
      <c r="I123" s="498"/>
      <c r="J123" s="498"/>
      <c r="K123" s="498"/>
      <c r="L123" s="498"/>
      <c r="M123" s="498"/>
      <c r="N123" s="498"/>
      <c r="O123" s="498"/>
      <c r="P123" s="498"/>
      <c r="Q123" s="498"/>
    </row>
    <row r="124" spans="1:17" ht="16.5" x14ac:dyDescent="0.25">
      <c r="A124" s="498"/>
      <c r="B124" s="498"/>
      <c r="C124" s="498"/>
      <c r="D124" s="498"/>
      <c r="E124" s="498"/>
      <c r="F124" s="225"/>
      <c r="G124" s="225"/>
      <c r="H124" s="225"/>
      <c r="I124" s="498"/>
      <c r="J124" s="498"/>
      <c r="K124" s="498"/>
      <c r="L124" s="498"/>
      <c r="M124" s="498"/>
      <c r="N124" s="498"/>
      <c r="O124" s="498"/>
      <c r="P124" s="498"/>
      <c r="Q124" s="498"/>
    </row>
    <row r="125" spans="1:17" ht="16.5" x14ac:dyDescent="0.25">
      <c r="A125" s="498"/>
      <c r="B125" s="498"/>
      <c r="C125" s="498"/>
      <c r="D125" s="498"/>
      <c r="E125" s="498"/>
      <c r="F125" s="225"/>
      <c r="G125" s="225"/>
      <c r="H125" s="225"/>
      <c r="I125" s="498"/>
      <c r="J125" s="498"/>
      <c r="K125" s="498"/>
      <c r="L125" s="498"/>
      <c r="M125" s="498"/>
      <c r="N125" s="498"/>
      <c r="O125" s="498"/>
      <c r="P125" s="498"/>
      <c r="Q125" s="498"/>
    </row>
    <row r="126" spans="1:17" ht="16.5" x14ac:dyDescent="0.25">
      <c r="A126" s="498"/>
      <c r="B126" s="498"/>
      <c r="C126" s="498"/>
      <c r="D126" s="498"/>
      <c r="E126" s="498"/>
      <c r="F126" s="225"/>
      <c r="G126" s="225"/>
      <c r="H126" s="225"/>
      <c r="I126" s="498"/>
      <c r="J126" s="498"/>
      <c r="K126" s="498"/>
      <c r="L126" s="498"/>
      <c r="M126" s="498"/>
      <c r="N126" s="498"/>
      <c r="O126" s="498"/>
      <c r="P126" s="498"/>
      <c r="Q126" s="498"/>
    </row>
    <row r="127" spans="1:17" ht="17.25" thickBot="1" x14ac:dyDescent="0.3">
      <c r="A127" s="90"/>
      <c r="B127" s="90"/>
      <c r="C127" s="90"/>
      <c r="D127" s="90"/>
      <c r="E127" s="90"/>
      <c r="F127" s="90"/>
      <c r="G127" s="90"/>
      <c r="H127" s="85"/>
      <c r="I127" s="85"/>
      <c r="J127" s="85"/>
      <c r="K127" s="85"/>
      <c r="L127" s="85"/>
      <c r="M127" s="85"/>
      <c r="N127" s="85"/>
      <c r="O127" s="85"/>
      <c r="P127" s="91"/>
      <c r="Q127" s="92"/>
    </row>
    <row r="128" spans="1:17" ht="15.75" thickBot="1" x14ac:dyDescent="0.25">
      <c r="A128" s="544">
        <v>2</v>
      </c>
      <c r="B128" s="545"/>
      <c r="C128" s="545"/>
      <c r="D128" s="545"/>
      <c r="E128" s="545"/>
      <c r="F128" s="545"/>
      <c r="G128" s="545"/>
      <c r="H128" s="545"/>
      <c r="I128" s="545"/>
      <c r="J128" s="545"/>
      <c r="K128" s="545"/>
      <c r="L128" s="545"/>
      <c r="M128" s="545"/>
      <c r="N128" s="545"/>
      <c r="O128" s="545"/>
      <c r="P128" s="545"/>
      <c r="Q128" s="546"/>
    </row>
    <row r="129" spans="1:17" ht="15.75" x14ac:dyDescent="0.25">
      <c r="A129" s="568" t="s">
        <v>0</v>
      </c>
      <c r="B129" s="569"/>
      <c r="C129" s="569"/>
      <c r="D129" s="569"/>
      <c r="E129" s="569"/>
      <c r="F129" s="569"/>
      <c r="G129" s="569"/>
      <c r="H129" s="569"/>
      <c r="I129" s="569"/>
      <c r="J129" s="569"/>
      <c r="K129" s="569"/>
      <c r="L129" s="569"/>
      <c r="M129" s="569"/>
      <c r="N129" s="569"/>
      <c r="O129" s="569"/>
      <c r="P129" s="569"/>
      <c r="Q129" s="570"/>
    </row>
    <row r="130" spans="1:17" ht="15" x14ac:dyDescent="0.2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2"/>
      <c r="Q130" s="63" t="s">
        <v>1</v>
      </c>
    </row>
    <row r="131" spans="1:17" ht="15.75" x14ac:dyDescent="0.25">
      <c r="A131" s="64" t="s">
        <v>2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5"/>
      <c r="P131" s="66" t="s">
        <v>3</v>
      </c>
      <c r="Q131" s="67"/>
    </row>
    <row r="132" spans="1:17" ht="15.75" x14ac:dyDescent="0.25">
      <c r="A132" s="64" t="s">
        <v>4</v>
      </c>
      <c r="B132" s="61"/>
      <c r="C132" s="61">
        <v>5120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8"/>
      <c r="P132" s="69" t="s">
        <v>5</v>
      </c>
      <c r="Q132" s="70"/>
    </row>
    <row r="133" spans="1:17" ht="15.75" x14ac:dyDescent="0.25">
      <c r="A133" s="64" t="s">
        <v>6</v>
      </c>
      <c r="B133" s="68"/>
      <c r="C133" s="68" t="s">
        <v>7</v>
      </c>
      <c r="D133" s="68"/>
      <c r="E133" s="68"/>
      <c r="F133" s="61"/>
      <c r="G133" s="61"/>
      <c r="H133" s="61"/>
      <c r="I133" s="61"/>
      <c r="J133" s="61"/>
      <c r="K133" s="61"/>
      <c r="L133" s="61"/>
      <c r="M133" s="61"/>
      <c r="N133" s="61"/>
      <c r="O133" s="68"/>
      <c r="P133" s="69" t="s">
        <v>8</v>
      </c>
      <c r="Q133" s="70"/>
    </row>
    <row r="134" spans="1:17" ht="15.75" x14ac:dyDescent="0.25">
      <c r="A134" s="64" t="s">
        <v>9</v>
      </c>
      <c r="B134" s="68">
        <v>2016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8"/>
      <c r="P134" s="71" t="s">
        <v>10</v>
      </c>
      <c r="Q134" s="72"/>
    </row>
    <row r="135" spans="1:17" ht="15.75" thickBot="1" x14ac:dyDescent="0.25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226"/>
    </row>
    <row r="136" spans="1:17" ht="15.75" x14ac:dyDescent="0.25">
      <c r="A136" s="550" t="s">
        <v>11</v>
      </c>
      <c r="B136" s="551"/>
      <c r="C136" s="551"/>
      <c r="D136" s="551"/>
      <c r="E136" s="551"/>
      <c r="F136" s="551"/>
      <c r="G136" s="551"/>
      <c r="H136" s="551"/>
      <c r="I136" s="551"/>
      <c r="J136" s="551"/>
      <c r="K136" s="551"/>
      <c r="L136" s="551"/>
      <c r="M136" s="493"/>
      <c r="N136" s="493"/>
      <c r="O136" s="553" t="s">
        <v>12</v>
      </c>
      <c r="P136" s="551"/>
      <c r="Q136" s="554"/>
    </row>
    <row r="137" spans="1:17" ht="15.75" x14ac:dyDescent="0.25">
      <c r="A137" s="227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228"/>
      <c r="P137" s="61"/>
      <c r="Q137" s="226"/>
    </row>
    <row r="138" spans="1:17" ht="15.75" x14ac:dyDescent="0.25">
      <c r="A138" s="555">
        <v>2</v>
      </c>
      <c r="B138" s="556"/>
      <c r="C138" s="556"/>
      <c r="D138" s="556"/>
      <c r="E138" s="556"/>
      <c r="F138" s="556"/>
      <c r="G138" s="557"/>
      <c r="H138" s="78" t="s">
        <v>13</v>
      </c>
      <c r="I138" s="79"/>
      <c r="J138" s="79"/>
      <c r="K138" s="79"/>
      <c r="L138" s="79"/>
      <c r="M138" s="79"/>
      <c r="N138" s="79"/>
      <c r="O138" s="80" t="s">
        <v>14</v>
      </c>
      <c r="P138" s="80" t="s">
        <v>15</v>
      </c>
      <c r="Q138" s="84" t="s">
        <v>16</v>
      </c>
    </row>
    <row r="139" spans="1:17" ht="15" x14ac:dyDescent="0.2">
      <c r="A139" s="60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228"/>
      <c r="P139" s="229"/>
      <c r="Q139" s="226"/>
    </row>
    <row r="140" spans="1:17" ht="15.75" x14ac:dyDescent="0.25">
      <c r="A140" s="558" t="s">
        <v>17</v>
      </c>
      <c r="B140" s="494" t="s">
        <v>18</v>
      </c>
      <c r="C140" s="560" t="s">
        <v>19</v>
      </c>
      <c r="D140" s="494" t="s">
        <v>20</v>
      </c>
      <c r="E140" s="494" t="s">
        <v>21</v>
      </c>
      <c r="F140" s="560" t="s">
        <v>22</v>
      </c>
      <c r="G140" s="560" t="s">
        <v>23</v>
      </c>
      <c r="H140" s="560" t="s">
        <v>24</v>
      </c>
      <c r="I140" s="560" t="s">
        <v>25</v>
      </c>
      <c r="J140" s="494"/>
      <c r="K140" s="494" t="s">
        <v>18</v>
      </c>
      <c r="L140" s="494"/>
      <c r="M140" s="494"/>
      <c r="N140" s="494"/>
      <c r="O140" s="564">
        <v>3</v>
      </c>
      <c r="P140" s="564">
        <v>4</v>
      </c>
      <c r="Q140" s="566">
        <v>5</v>
      </c>
    </row>
    <row r="141" spans="1:17" ht="16.5" thickBot="1" x14ac:dyDescent="0.3">
      <c r="A141" s="532"/>
      <c r="B141" s="499" t="s">
        <v>17</v>
      </c>
      <c r="C141" s="534"/>
      <c r="D141" s="499" t="s">
        <v>26</v>
      </c>
      <c r="E141" s="499" t="s">
        <v>27</v>
      </c>
      <c r="F141" s="534"/>
      <c r="G141" s="534"/>
      <c r="H141" s="534"/>
      <c r="I141" s="534"/>
      <c r="J141" s="499" t="s">
        <v>28</v>
      </c>
      <c r="K141" s="499" t="s">
        <v>28</v>
      </c>
      <c r="L141" s="499" t="s">
        <v>29</v>
      </c>
      <c r="M141" s="499" t="s">
        <v>29</v>
      </c>
      <c r="N141" s="499" t="s">
        <v>30</v>
      </c>
      <c r="O141" s="538"/>
      <c r="P141" s="538"/>
      <c r="Q141" s="540"/>
    </row>
    <row r="142" spans="1:17" ht="16.5" x14ac:dyDescent="0.25">
      <c r="A142" s="127"/>
      <c r="B142" s="128"/>
      <c r="C142" s="102"/>
      <c r="D142" s="128"/>
      <c r="E142" s="102"/>
      <c r="F142" s="128"/>
      <c r="G142" s="102"/>
      <c r="H142" s="128"/>
      <c r="I142" s="102"/>
      <c r="J142" s="128"/>
      <c r="K142" s="102"/>
      <c r="L142" s="128"/>
      <c r="M142" s="102"/>
      <c r="N142" s="128"/>
      <c r="O142" s="130"/>
      <c r="P142" s="131"/>
      <c r="Q142" s="157"/>
    </row>
    <row r="143" spans="1:17" ht="16.5" x14ac:dyDescent="0.25">
      <c r="A143" s="196"/>
      <c r="B143" s="129"/>
      <c r="C143" s="497"/>
      <c r="D143" s="129"/>
      <c r="E143" s="497"/>
      <c r="F143" s="129"/>
      <c r="G143" s="497"/>
      <c r="H143" s="320">
        <v>2</v>
      </c>
      <c r="I143" s="321">
        <v>1</v>
      </c>
      <c r="J143" s="320"/>
      <c r="K143" s="321"/>
      <c r="L143" s="320"/>
      <c r="M143" s="321"/>
      <c r="N143" s="304" t="s">
        <v>33</v>
      </c>
      <c r="O143" s="310">
        <f>+P143-Q143</f>
        <v>12503.709999999963</v>
      </c>
      <c r="P143" s="311">
        <f>+P146+P149+P152</f>
        <v>1160500</v>
      </c>
      <c r="Q143" s="311">
        <f>+Q146+Q149+Q152</f>
        <v>1147996.29</v>
      </c>
    </row>
    <row r="144" spans="1:17" ht="16.5" x14ac:dyDescent="0.25">
      <c r="A144" s="196"/>
      <c r="B144" s="129"/>
      <c r="C144" s="497"/>
      <c r="D144" s="129"/>
      <c r="E144" s="497"/>
      <c r="F144" s="129"/>
      <c r="G144" s="497"/>
      <c r="H144" s="129"/>
      <c r="I144" s="497"/>
      <c r="J144" s="129"/>
      <c r="K144" s="497"/>
      <c r="L144" s="129"/>
      <c r="M144" s="497"/>
      <c r="N144" s="119"/>
      <c r="O144" s="197"/>
      <c r="P144" s="198"/>
      <c r="Q144" s="198"/>
    </row>
    <row r="145" spans="1:17" ht="16.5" x14ac:dyDescent="0.25">
      <c r="A145" s="196"/>
      <c r="B145" s="129"/>
      <c r="C145" s="497"/>
      <c r="D145" s="129"/>
      <c r="E145" s="497"/>
      <c r="F145" s="129"/>
      <c r="G145" s="497"/>
      <c r="H145" s="129"/>
      <c r="I145" s="497"/>
      <c r="J145" s="129"/>
      <c r="K145" s="497"/>
      <c r="L145" s="129"/>
      <c r="M145" s="497"/>
      <c r="N145" s="129"/>
      <c r="O145" s="197"/>
      <c r="P145" s="199"/>
      <c r="Q145" s="198"/>
    </row>
    <row r="146" spans="1:17" ht="16.5" x14ac:dyDescent="0.25">
      <c r="A146" s="196"/>
      <c r="B146" s="129"/>
      <c r="C146" s="497"/>
      <c r="D146" s="129"/>
      <c r="E146" s="497"/>
      <c r="F146" s="129"/>
      <c r="G146" s="497"/>
      <c r="H146" s="328">
        <v>2</v>
      </c>
      <c r="I146" s="329">
        <v>1</v>
      </c>
      <c r="J146" s="309">
        <v>1</v>
      </c>
      <c r="K146" s="309"/>
      <c r="L146" s="119"/>
      <c r="M146" s="87"/>
      <c r="N146" s="119" t="s">
        <v>35</v>
      </c>
      <c r="O146" s="197"/>
      <c r="P146" s="198">
        <f>+P147</f>
        <v>1075000</v>
      </c>
      <c r="Q146" s="198">
        <f>+Q147</f>
        <v>1075000</v>
      </c>
    </row>
    <row r="147" spans="1:17" ht="16.5" x14ac:dyDescent="0.25">
      <c r="A147" s="196"/>
      <c r="B147" s="129"/>
      <c r="C147" s="497"/>
      <c r="D147" s="129"/>
      <c r="E147" s="497"/>
      <c r="F147" s="129"/>
      <c r="G147" s="90">
        <v>100</v>
      </c>
      <c r="H147" s="112">
        <v>2</v>
      </c>
      <c r="I147" s="90">
        <v>1</v>
      </c>
      <c r="J147" s="112">
        <v>1</v>
      </c>
      <c r="K147" s="90">
        <v>1</v>
      </c>
      <c r="L147" s="112">
        <v>0</v>
      </c>
      <c r="M147" s="90">
        <v>1</v>
      </c>
      <c r="N147" s="200" t="s">
        <v>100</v>
      </c>
      <c r="O147" s="197"/>
      <c r="P147" s="189">
        <f>277000+798000</f>
        <v>1075000</v>
      </c>
      <c r="Q147" s="189">
        <f>277000+798000</f>
        <v>1075000</v>
      </c>
    </row>
    <row r="148" spans="1:17" ht="16.5" x14ac:dyDescent="0.25">
      <c r="A148" s="196"/>
      <c r="B148" s="129"/>
      <c r="C148" s="497"/>
      <c r="D148" s="129"/>
      <c r="E148" s="497"/>
      <c r="F148" s="129"/>
      <c r="G148" s="90"/>
      <c r="H148" s="112"/>
      <c r="I148" s="90"/>
      <c r="J148" s="112"/>
      <c r="K148" s="90"/>
      <c r="L148" s="112"/>
      <c r="M148" s="90"/>
      <c r="N148" s="200"/>
      <c r="O148" s="197"/>
      <c r="P148" s="189"/>
      <c r="Q148" s="189"/>
    </row>
    <row r="149" spans="1:17" ht="16.5" x14ac:dyDescent="0.25">
      <c r="A149" s="196"/>
      <c r="B149" s="129"/>
      <c r="C149" s="497"/>
      <c r="D149" s="129"/>
      <c r="E149" s="497"/>
      <c r="F149" s="129"/>
      <c r="G149" s="90"/>
      <c r="H149" s="129">
        <v>2</v>
      </c>
      <c r="I149" s="497">
        <v>1</v>
      </c>
      <c r="J149" s="129">
        <v>2</v>
      </c>
      <c r="K149" s="90"/>
      <c r="L149" s="112"/>
      <c r="M149" s="90"/>
      <c r="N149" s="330" t="s">
        <v>101</v>
      </c>
      <c r="O149" s="197"/>
      <c r="P149" s="198">
        <f>+P150</f>
        <v>80500</v>
      </c>
      <c r="Q149" s="198">
        <f>+Q150</f>
        <v>68496.290000000008</v>
      </c>
    </row>
    <row r="150" spans="1:17" ht="16.5" x14ac:dyDescent="0.25">
      <c r="A150" s="196"/>
      <c r="B150" s="129"/>
      <c r="C150" s="497"/>
      <c r="D150" s="129"/>
      <c r="E150" s="497"/>
      <c r="F150" s="129"/>
      <c r="G150" s="90">
        <v>9995</v>
      </c>
      <c r="H150" s="112">
        <v>2</v>
      </c>
      <c r="I150" s="90">
        <v>1</v>
      </c>
      <c r="J150" s="112">
        <v>2</v>
      </c>
      <c r="K150" s="90">
        <v>2</v>
      </c>
      <c r="L150" s="112">
        <v>0</v>
      </c>
      <c r="M150" s="90">
        <v>8</v>
      </c>
      <c r="N150" s="331" t="s">
        <v>102</v>
      </c>
      <c r="O150" s="197"/>
      <c r="P150" s="189">
        <f>34500+46000</f>
        <v>80500</v>
      </c>
      <c r="Q150" s="189">
        <f>28818.36+39677.93</f>
        <v>68496.290000000008</v>
      </c>
    </row>
    <row r="151" spans="1:17" ht="16.5" x14ac:dyDescent="0.25">
      <c r="A151" s="196"/>
      <c r="B151" s="129"/>
      <c r="C151" s="497"/>
      <c r="D151" s="129"/>
      <c r="E151" s="497"/>
      <c r="F151" s="129"/>
      <c r="G151" s="497"/>
      <c r="H151" s="129"/>
      <c r="I151" s="497"/>
      <c r="J151" s="129"/>
      <c r="K151" s="497"/>
      <c r="L151" s="129"/>
      <c r="M151" s="497"/>
      <c r="N151" s="129"/>
      <c r="O151" s="197"/>
      <c r="P151" s="189"/>
      <c r="Q151" s="189"/>
    </row>
    <row r="152" spans="1:17" ht="16.5" x14ac:dyDescent="0.25">
      <c r="A152" s="196"/>
      <c r="B152" s="129"/>
      <c r="C152" s="497"/>
      <c r="D152" s="129"/>
      <c r="E152" s="497"/>
      <c r="F152" s="129"/>
      <c r="G152" s="497"/>
      <c r="H152" s="129">
        <v>2</v>
      </c>
      <c r="I152" s="497">
        <v>1</v>
      </c>
      <c r="J152" s="129">
        <v>4</v>
      </c>
      <c r="K152" s="497"/>
      <c r="L152" s="129"/>
      <c r="M152" s="497"/>
      <c r="N152" s="330" t="s">
        <v>103</v>
      </c>
      <c r="O152" s="197"/>
      <c r="P152" s="198">
        <f>+P153</f>
        <v>5000</v>
      </c>
      <c r="Q152" s="198">
        <f>+Q153</f>
        <v>4500</v>
      </c>
    </row>
    <row r="153" spans="1:17" ht="16.5" x14ac:dyDescent="0.25">
      <c r="A153" s="196"/>
      <c r="B153" s="129"/>
      <c r="C153" s="497"/>
      <c r="D153" s="129"/>
      <c r="E153" s="497"/>
      <c r="F153" s="129"/>
      <c r="G153" s="90">
        <v>9995</v>
      </c>
      <c r="H153" s="112">
        <v>2</v>
      </c>
      <c r="I153" s="90">
        <v>1</v>
      </c>
      <c r="J153" s="112">
        <v>4</v>
      </c>
      <c r="K153" s="90">
        <v>2</v>
      </c>
      <c r="L153" s="112">
        <v>0</v>
      </c>
      <c r="M153" s="90">
        <v>2</v>
      </c>
      <c r="N153" s="331" t="s">
        <v>104</v>
      </c>
      <c r="O153" s="197"/>
      <c r="P153" s="189">
        <v>5000</v>
      </c>
      <c r="Q153" s="189">
        <v>4500</v>
      </c>
    </row>
    <row r="154" spans="1:17" ht="16.5" x14ac:dyDescent="0.25">
      <c r="A154" s="196"/>
      <c r="B154" s="129"/>
      <c r="C154" s="497"/>
      <c r="D154" s="129"/>
      <c r="E154" s="497"/>
      <c r="F154" s="129"/>
      <c r="G154" s="497"/>
      <c r="H154" s="129"/>
      <c r="I154" s="497"/>
      <c r="J154" s="129"/>
      <c r="K154" s="497"/>
      <c r="L154" s="129"/>
      <c r="M154" s="497"/>
      <c r="N154" s="129"/>
      <c r="O154" s="197"/>
      <c r="P154" s="199"/>
      <c r="Q154" s="198"/>
    </row>
    <row r="155" spans="1:17" ht="16.5" x14ac:dyDescent="0.25">
      <c r="A155" s="114">
        <v>11</v>
      </c>
      <c r="B155" s="113" t="s">
        <v>31</v>
      </c>
      <c r="C155" s="85" t="s">
        <v>31</v>
      </c>
      <c r="D155" s="174">
        <v>0.2</v>
      </c>
      <c r="E155" s="85" t="s">
        <v>32</v>
      </c>
      <c r="F155" s="113" t="s">
        <v>34</v>
      </c>
      <c r="G155" s="497"/>
      <c r="H155" s="304">
        <v>2</v>
      </c>
      <c r="I155" s="315">
        <v>2</v>
      </c>
      <c r="J155" s="304"/>
      <c r="K155" s="315"/>
      <c r="L155" s="304"/>
      <c r="M155" s="315"/>
      <c r="N155" s="304" t="s">
        <v>50</v>
      </c>
      <c r="O155" s="299">
        <f>+P155-Q155</f>
        <v>0</v>
      </c>
      <c r="P155" s="298">
        <f>+P157+P160+P163</f>
        <v>70373.38</v>
      </c>
      <c r="Q155" s="298">
        <f>+Q157+Q160+Q163</f>
        <v>70373.38</v>
      </c>
    </row>
    <row r="156" spans="1:17" ht="16.5" x14ac:dyDescent="0.25">
      <c r="A156" s="196"/>
      <c r="B156" s="129"/>
      <c r="C156" s="497"/>
      <c r="D156" s="129"/>
      <c r="E156" s="497"/>
      <c r="F156" s="112"/>
      <c r="G156" s="90"/>
      <c r="H156" s="119"/>
      <c r="I156" s="87"/>
      <c r="J156" s="119"/>
      <c r="K156" s="87"/>
      <c r="L156" s="119"/>
      <c r="M156" s="87"/>
      <c r="N156" s="119"/>
      <c r="O156" s="197"/>
      <c r="P156" s="199"/>
      <c r="Q156" s="198"/>
    </row>
    <row r="157" spans="1:17" ht="16.5" x14ac:dyDescent="0.25">
      <c r="A157" s="196"/>
      <c r="B157" s="113" t="s">
        <v>31</v>
      </c>
      <c r="C157" s="85" t="s">
        <v>31</v>
      </c>
      <c r="D157" s="129"/>
      <c r="E157" s="85" t="s">
        <v>32</v>
      </c>
      <c r="F157" s="113" t="s">
        <v>34</v>
      </c>
      <c r="G157" s="90"/>
      <c r="H157" s="119">
        <v>2</v>
      </c>
      <c r="I157" s="87">
        <v>2</v>
      </c>
      <c r="J157" s="119">
        <v>3</v>
      </c>
      <c r="K157" s="87"/>
      <c r="L157" s="119"/>
      <c r="M157" s="87"/>
      <c r="N157" s="119" t="s">
        <v>62</v>
      </c>
      <c r="O157" s="201"/>
      <c r="P157" s="198">
        <f>+P158</f>
        <v>54900</v>
      </c>
      <c r="Q157" s="198">
        <f>+Q158</f>
        <v>54900</v>
      </c>
    </row>
    <row r="158" spans="1:17" ht="16.5" x14ac:dyDescent="0.25">
      <c r="A158" s="196"/>
      <c r="B158" s="129"/>
      <c r="C158" s="497"/>
      <c r="D158" s="129"/>
      <c r="E158" s="497"/>
      <c r="F158" s="112"/>
      <c r="G158" s="90">
        <v>9995</v>
      </c>
      <c r="H158" s="120">
        <v>2</v>
      </c>
      <c r="I158" s="88">
        <v>2</v>
      </c>
      <c r="J158" s="120">
        <v>3</v>
      </c>
      <c r="K158" s="88">
        <v>1</v>
      </c>
      <c r="L158" s="120">
        <v>0</v>
      </c>
      <c r="M158" s="88">
        <v>1</v>
      </c>
      <c r="N158" s="120" t="s">
        <v>63</v>
      </c>
      <c r="O158" s="201"/>
      <c r="P158" s="189">
        <f>2400+6300+7500+3900+1050+1050+1050+1050+2100+1050+2400+6300+7500+3900+1050+1050+1050+1050+2100+1050</f>
        <v>54900</v>
      </c>
      <c r="Q158" s="189">
        <f>2400+6300+7500+3900+1050+1050+1050+1050+2100+1050+2400+6300+7500+3900+1050+1050+1050+1050+2100+1050</f>
        <v>54900</v>
      </c>
    </row>
    <row r="159" spans="1:17" ht="16.5" x14ac:dyDescent="0.25">
      <c r="A159" s="196"/>
      <c r="B159" s="129"/>
      <c r="C159" s="497"/>
      <c r="D159" s="129"/>
      <c r="E159" s="497"/>
      <c r="F159" s="112"/>
      <c r="G159" s="90"/>
      <c r="H159" s="120"/>
      <c r="I159" s="88"/>
      <c r="J159" s="120"/>
      <c r="K159" s="88"/>
      <c r="L159" s="120"/>
      <c r="M159" s="88"/>
      <c r="N159" s="120"/>
      <c r="O159" s="201"/>
      <c r="P159" s="189"/>
      <c r="Q159" s="189"/>
    </row>
    <row r="160" spans="1:17" ht="16.5" x14ac:dyDescent="0.25">
      <c r="A160" s="196"/>
      <c r="B160" s="113" t="s">
        <v>31</v>
      </c>
      <c r="C160" s="85" t="s">
        <v>31</v>
      </c>
      <c r="D160" s="129"/>
      <c r="E160" s="85" t="s">
        <v>32</v>
      </c>
      <c r="F160" s="113" t="s">
        <v>34</v>
      </c>
      <c r="G160" s="90"/>
      <c r="H160" s="119">
        <v>2</v>
      </c>
      <c r="I160" s="87">
        <v>2</v>
      </c>
      <c r="J160" s="119">
        <v>4</v>
      </c>
      <c r="K160" s="87"/>
      <c r="L160" s="119"/>
      <c r="M160" s="87"/>
      <c r="N160" s="119" t="s">
        <v>105</v>
      </c>
      <c r="O160" s="201"/>
      <c r="P160" s="198">
        <f>+P161</f>
        <v>2100</v>
      </c>
      <c r="Q160" s="198">
        <f>+Q161</f>
        <v>2100</v>
      </c>
    </row>
    <row r="161" spans="1:17" ht="16.5" x14ac:dyDescent="0.25">
      <c r="A161" s="196"/>
      <c r="B161" s="129"/>
      <c r="C161" s="497"/>
      <c r="D161" s="129"/>
      <c r="E161" s="497"/>
      <c r="F161" s="112"/>
      <c r="G161" s="90">
        <v>9995</v>
      </c>
      <c r="H161" s="120">
        <v>2</v>
      </c>
      <c r="I161" s="88">
        <v>2</v>
      </c>
      <c r="J161" s="120">
        <v>4</v>
      </c>
      <c r="K161" s="88">
        <v>4</v>
      </c>
      <c r="L161" s="120">
        <v>0</v>
      </c>
      <c r="M161" s="88">
        <v>1</v>
      </c>
      <c r="N161" s="120" t="s">
        <v>106</v>
      </c>
      <c r="O161" s="201"/>
      <c r="P161" s="189">
        <f>30+30+30+960+30+30+30+960</f>
        <v>2100</v>
      </c>
      <c r="Q161" s="189">
        <f>30+30+30+960+30+30+30+960</f>
        <v>2100</v>
      </c>
    </row>
    <row r="162" spans="1:17" ht="16.5" x14ac:dyDescent="0.25">
      <c r="A162" s="196"/>
      <c r="B162" s="129"/>
      <c r="C162" s="497"/>
      <c r="D162" s="129"/>
      <c r="E162" s="497"/>
      <c r="F162" s="112"/>
      <c r="G162" s="90"/>
      <c r="H162" s="120"/>
      <c r="I162" s="88"/>
      <c r="J162" s="120"/>
      <c r="K162" s="88"/>
      <c r="L162" s="120"/>
      <c r="M162" s="88"/>
      <c r="N162" s="120"/>
      <c r="O162" s="201"/>
      <c r="P162" s="189"/>
      <c r="Q162" s="189"/>
    </row>
    <row r="163" spans="1:17" ht="16.5" x14ac:dyDescent="0.25">
      <c r="A163" s="196"/>
      <c r="B163" s="129"/>
      <c r="C163" s="497"/>
      <c r="D163" s="129"/>
      <c r="E163" s="497"/>
      <c r="F163" s="112"/>
      <c r="G163" s="90"/>
      <c r="H163" s="119">
        <v>2</v>
      </c>
      <c r="I163" s="87">
        <v>2</v>
      </c>
      <c r="J163" s="119">
        <v>8</v>
      </c>
      <c r="K163" s="88"/>
      <c r="L163" s="120"/>
      <c r="M163" s="88"/>
      <c r="N163" s="119" t="s">
        <v>71</v>
      </c>
      <c r="O163" s="201"/>
      <c r="P163" s="198">
        <f>+P164</f>
        <v>13373.38</v>
      </c>
      <c r="Q163" s="198">
        <f>+Q164</f>
        <v>13373.38</v>
      </c>
    </row>
    <row r="164" spans="1:17" ht="16.5" x14ac:dyDescent="0.25">
      <c r="A164" s="196"/>
      <c r="B164" s="129"/>
      <c r="C164" s="497"/>
      <c r="D164" s="129"/>
      <c r="E164" s="497"/>
      <c r="F164" s="112"/>
      <c r="G164" s="90">
        <v>9995</v>
      </c>
      <c r="H164" s="120">
        <v>2</v>
      </c>
      <c r="I164" s="88">
        <v>2</v>
      </c>
      <c r="J164" s="120">
        <v>8</v>
      </c>
      <c r="K164" s="88">
        <v>2</v>
      </c>
      <c r="L164" s="120">
        <v>0</v>
      </c>
      <c r="M164" s="88">
        <v>1</v>
      </c>
      <c r="N164" s="120" t="s">
        <v>107</v>
      </c>
      <c r="O164" s="201"/>
      <c r="P164" s="189">
        <v>13373.38</v>
      </c>
      <c r="Q164" s="189">
        <v>13373.38</v>
      </c>
    </row>
    <row r="165" spans="1:17" ht="16.5" x14ac:dyDescent="0.25">
      <c r="A165" s="196"/>
      <c r="B165" s="129"/>
      <c r="C165" s="497"/>
      <c r="D165" s="129"/>
      <c r="E165" s="497"/>
      <c r="F165" s="112"/>
      <c r="G165" s="90"/>
      <c r="H165" s="120"/>
      <c r="I165" s="88"/>
      <c r="J165" s="120"/>
      <c r="K165" s="88"/>
      <c r="L165" s="120"/>
      <c r="M165" s="88"/>
      <c r="N165" s="120"/>
      <c r="O165" s="201"/>
      <c r="P165" s="189"/>
      <c r="Q165" s="189"/>
    </row>
    <row r="166" spans="1:17" ht="16.5" x14ac:dyDescent="0.25">
      <c r="A166" s="196"/>
      <c r="B166" s="129"/>
      <c r="C166" s="497"/>
      <c r="D166" s="129"/>
      <c r="E166" s="497"/>
      <c r="F166" s="112"/>
      <c r="G166" s="90"/>
      <c r="H166" s="304">
        <v>2</v>
      </c>
      <c r="I166" s="315">
        <v>3</v>
      </c>
      <c r="J166" s="312"/>
      <c r="K166" s="313"/>
      <c r="L166" s="312"/>
      <c r="M166" s="313"/>
      <c r="N166" s="304" t="s">
        <v>108</v>
      </c>
      <c r="O166" s="314">
        <f>+P166-Q166</f>
        <v>231600.40000000002</v>
      </c>
      <c r="P166" s="311">
        <f>+P168+P169+P170</f>
        <v>254600.40000000002</v>
      </c>
      <c r="Q166" s="311">
        <f>+Q168</f>
        <v>23000</v>
      </c>
    </row>
    <row r="167" spans="1:17" ht="16.5" x14ac:dyDescent="0.25">
      <c r="A167" s="196"/>
      <c r="B167" s="129"/>
      <c r="C167" s="497"/>
      <c r="D167" s="129"/>
      <c r="E167" s="497"/>
      <c r="F167" s="112"/>
      <c r="G167" s="90"/>
      <c r="H167" s="120"/>
      <c r="I167" s="88"/>
      <c r="J167" s="120"/>
      <c r="K167" s="88"/>
      <c r="L167" s="120"/>
      <c r="M167" s="88"/>
      <c r="N167" s="120"/>
      <c r="O167" s="201"/>
      <c r="P167" s="189"/>
      <c r="Q167" s="189"/>
    </row>
    <row r="168" spans="1:17" ht="16.5" x14ac:dyDescent="0.25">
      <c r="A168" s="196"/>
      <c r="B168" s="129"/>
      <c r="C168" s="497"/>
      <c r="D168" s="129"/>
      <c r="E168" s="497"/>
      <c r="F168" s="112"/>
      <c r="G168" s="90"/>
      <c r="H168" s="119">
        <v>2</v>
      </c>
      <c r="I168" s="87">
        <v>3</v>
      </c>
      <c r="J168" s="119">
        <v>7</v>
      </c>
      <c r="K168" s="87"/>
      <c r="L168" s="119"/>
      <c r="M168" s="87"/>
      <c r="N168" s="156" t="s">
        <v>109</v>
      </c>
      <c r="O168" s="201"/>
      <c r="P168" s="198">
        <f>+P169+P170</f>
        <v>127300.2</v>
      </c>
      <c r="Q168" s="198">
        <f>+Q169</f>
        <v>23000</v>
      </c>
    </row>
    <row r="169" spans="1:17" ht="16.5" x14ac:dyDescent="0.25">
      <c r="A169" s="196"/>
      <c r="B169" s="129"/>
      <c r="C169" s="497"/>
      <c r="D169" s="129"/>
      <c r="E169" s="497"/>
      <c r="F169" s="112"/>
      <c r="G169" s="90">
        <v>9995</v>
      </c>
      <c r="H169" s="120">
        <v>2</v>
      </c>
      <c r="I169" s="88">
        <v>3</v>
      </c>
      <c r="J169" s="120">
        <v>7</v>
      </c>
      <c r="K169" s="88">
        <v>1</v>
      </c>
      <c r="L169" s="120">
        <v>0</v>
      </c>
      <c r="M169" s="88">
        <v>1</v>
      </c>
      <c r="N169" s="120" t="s">
        <v>110</v>
      </c>
      <c r="O169" s="201"/>
      <c r="P169" s="189">
        <f>2000+6000+1500+2000+2000+6000+1500+2000</f>
        <v>23000</v>
      </c>
      <c r="Q169" s="189">
        <f>2000+6000+1500+2000+2000+6000+1500+2000</f>
        <v>23000</v>
      </c>
    </row>
    <row r="170" spans="1:17" ht="16.5" x14ac:dyDescent="0.25">
      <c r="A170" s="196"/>
      <c r="B170" s="129"/>
      <c r="C170" s="497"/>
      <c r="D170" s="129"/>
      <c r="E170" s="497"/>
      <c r="F170" s="112"/>
      <c r="G170" s="90"/>
      <c r="H170" s="120">
        <v>2</v>
      </c>
      <c r="I170" s="88">
        <v>3</v>
      </c>
      <c r="J170" s="120">
        <v>7</v>
      </c>
      <c r="K170" s="88">
        <v>2</v>
      </c>
      <c r="L170" s="120">
        <v>0</v>
      </c>
      <c r="M170" s="88">
        <v>1</v>
      </c>
      <c r="N170" s="120"/>
      <c r="O170" s="201"/>
      <c r="P170" s="189">
        <v>104300.2</v>
      </c>
      <c r="Q170" s="189"/>
    </row>
    <row r="171" spans="1:17" ht="16.5" x14ac:dyDescent="0.25">
      <c r="A171" s="196"/>
      <c r="B171" s="129"/>
      <c r="C171" s="497"/>
      <c r="D171" s="129"/>
      <c r="E171" s="497"/>
      <c r="F171" s="112"/>
      <c r="G171" s="90"/>
      <c r="H171" s="120"/>
      <c r="I171" s="88"/>
      <c r="J171" s="120"/>
      <c r="K171" s="88"/>
      <c r="L171" s="120"/>
      <c r="M171" s="88"/>
      <c r="N171" s="120"/>
      <c r="O171" s="201"/>
      <c r="P171" s="189"/>
      <c r="Q171" s="189"/>
    </row>
    <row r="172" spans="1:17" ht="16.5" x14ac:dyDescent="0.25">
      <c r="A172" s="196"/>
      <c r="B172" s="129"/>
      <c r="C172" s="497"/>
      <c r="D172" s="129"/>
      <c r="E172" s="497"/>
      <c r="F172" s="112"/>
      <c r="G172" s="90"/>
      <c r="H172" s="304">
        <v>2</v>
      </c>
      <c r="I172" s="315">
        <v>6</v>
      </c>
      <c r="J172" s="304"/>
      <c r="K172" s="315"/>
      <c r="L172" s="304"/>
      <c r="M172" s="315"/>
      <c r="N172" s="304" t="s">
        <v>90</v>
      </c>
      <c r="O172" s="310">
        <f>+P172-Q172</f>
        <v>0</v>
      </c>
      <c r="P172" s="311">
        <f>+P174</f>
        <v>2090.83</v>
      </c>
      <c r="Q172" s="311">
        <f>+Q174</f>
        <v>2090.83</v>
      </c>
    </row>
    <row r="173" spans="1:17" ht="16.5" x14ac:dyDescent="0.25">
      <c r="A173" s="196"/>
      <c r="B173" s="129"/>
      <c r="C173" s="497"/>
      <c r="D173" s="129"/>
      <c r="E173" s="497"/>
      <c r="F173" s="112"/>
      <c r="G173" s="90"/>
      <c r="H173" s="120"/>
      <c r="I173" s="88"/>
      <c r="J173" s="120"/>
      <c r="K173" s="88"/>
      <c r="L173" s="120"/>
      <c r="M173" s="88"/>
      <c r="N173" s="120"/>
      <c r="O173" s="201"/>
      <c r="P173" s="189"/>
      <c r="Q173" s="189"/>
    </row>
    <row r="174" spans="1:17" ht="16.5" x14ac:dyDescent="0.25">
      <c r="A174" s="196"/>
      <c r="B174" s="129"/>
      <c r="C174" s="497"/>
      <c r="D174" s="129"/>
      <c r="E174" s="497"/>
      <c r="F174" s="112"/>
      <c r="G174" s="90"/>
      <c r="H174" s="119">
        <v>2</v>
      </c>
      <c r="I174" s="87">
        <v>6</v>
      </c>
      <c r="J174" s="119">
        <v>1</v>
      </c>
      <c r="K174" s="88"/>
      <c r="L174" s="120"/>
      <c r="M174" s="88"/>
      <c r="N174" s="119" t="s">
        <v>91</v>
      </c>
      <c r="O174" s="201"/>
      <c r="P174" s="198">
        <f>+P175</f>
        <v>2090.83</v>
      </c>
      <c r="Q174" s="198">
        <f>+Q175</f>
        <v>2090.83</v>
      </c>
    </row>
    <row r="175" spans="1:17" ht="16.5" x14ac:dyDescent="0.25">
      <c r="A175" s="196"/>
      <c r="B175" s="129"/>
      <c r="C175" s="497"/>
      <c r="D175" s="129"/>
      <c r="E175" s="497"/>
      <c r="F175" s="112"/>
      <c r="G175" s="90">
        <v>9995</v>
      </c>
      <c r="H175" s="120">
        <v>2</v>
      </c>
      <c r="I175" s="88">
        <v>6</v>
      </c>
      <c r="J175" s="120">
        <v>1</v>
      </c>
      <c r="K175" s="88">
        <v>3</v>
      </c>
      <c r="L175" s="120">
        <v>0</v>
      </c>
      <c r="M175" s="88">
        <v>1</v>
      </c>
      <c r="N175" s="120" t="s">
        <v>111</v>
      </c>
      <c r="O175" s="201"/>
      <c r="P175" s="189">
        <v>2090.83</v>
      </c>
      <c r="Q175" s="189">
        <v>2090.83</v>
      </c>
    </row>
    <row r="176" spans="1:17" ht="17.25" thickBot="1" x14ac:dyDescent="0.3">
      <c r="A176" s="203"/>
      <c r="B176" s="204"/>
      <c r="C176" s="205"/>
      <c r="D176" s="204"/>
      <c r="E176" s="205"/>
      <c r="F176" s="117"/>
      <c r="G176" s="118"/>
      <c r="H176" s="206"/>
      <c r="I176" s="207"/>
      <c r="J176" s="206"/>
      <c r="K176" s="207"/>
      <c r="L176" s="206"/>
      <c r="M176" s="207"/>
      <c r="N176" s="206"/>
      <c r="O176" s="208"/>
      <c r="P176" s="209"/>
      <c r="Q176" s="209"/>
    </row>
    <row r="177" spans="1:17" ht="17.25" thickBot="1" x14ac:dyDescent="0.3">
      <c r="A177" s="571" t="s">
        <v>95</v>
      </c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3"/>
      <c r="M177" s="500"/>
      <c r="N177" s="210" t="s">
        <v>96</v>
      </c>
      <c r="O177" s="182">
        <f>+O172+O166+O155+O143</f>
        <v>244104.11</v>
      </c>
      <c r="P177" s="238">
        <f>+P172+P166+P155+P143</f>
        <v>1487564.6099999999</v>
      </c>
      <c r="Q177" s="238">
        <f>+Q172+Q166+Q155+Q143</f>
        <v>1243460.5</v>
      </c>
    </row>
    <row r="178" spans="1:17" ht="17.25" thickTop="1" x14ac:dyDescent="0.25">
      <c r="A178" s="497"/>
      <c r="B178" s="497"/>
      <c r="C178" s="497"/>
      <c r="D178" s="497"/>
      <c r="E178" s="497"/>
      <c r="F178" s="497"/>
      <c r="G178" s="497"/>
      <c r="H178" s="497"/>
      <c r="I178" s="497"/>
      <c r="J178" s="497"/>
      <c r="K178" s="497"/>
      <c r="L178" s="497"/>
      <c r="M178" s="497"/>
      <c r="N178" s="497"/>
      <c r="O178" s="202"/>
      <c r="P178" s="202"/>
      <c r="Q178" s="202"/>
    </row>
    <row r="179" spans="1:17" ht="16.5" x14ac:dyDescent="0.25">
      <c r="A179" s="497"/>
      <c r="B179" s="497"/>
      <c r="C179" s="497"/>
      <c r="D179" s="497"/>
      <c r="E179" s="497"/>
      <c r="F179" s="497"/>
      <c r="G179" s="497"/>
      <c r="H179" s="497"/>
      <c r="I179" s="497"/>
      <c r="J179" s="497"/>
      <c r="K179" s="497"/>
      <c r="L179" s="497"/>
      <c r="M179" s="497"/>
      <c r="N179" s="497"/>
      <c r="O179" s="197"/>
      <c r="P179" s="202"/>
      <c r="Q179" s="301"/>
    </row>
    <row r="180" spans="1:17" ht="16.5" x14ac:dyDescent="0.25">
      <c r="A180" s="497"/>
      <c r="B180" s="497"/>
      <c r="C180" s="497"/>
      <c r="D180" s="497"/>
      <c r="E180" s="497"/>
      <c r="F180" s="497"/>
      <c r="G180" s="497"/>
      <c r="H180" s="497"/>
      <c r="I180" s="497"/>
      <c r="J180" s="497"/>
      <c r="K180" s="497"/>
      <c r="L180" s="497"/>
      <c r="M180" s="497"/>
      <c r="N180" s="497"/>
      <c r="O180" s="197"/>
      <c r="P180" s="197"/>
      <c r="Q180" s="197"/>
    </row>
    <row r="181" spans="1:17" ht="16.5" x14ac:dyDescent="0.25">
      <c r="A181" s="497"/>
      <c r="B181" s="497"/>
      <c r="C181" s="497"/>
      <c r="D181" s="497"/>
      <c r="E181" s="497"/>
      <c r="F181" s="497"/>
      <c r="G181" s="497"/>
      <c r="H181" s="497"/>
      <c r="I181" s="497"/>
      <c r="J181" s="497"/>
      <c r="K181" s="497"/>
      <c r="L181" s="497"/>
      <c r="M181" s="497"/>
      <c r="N181" s="497"/>
      <c r="O181" s="197"/>
      <c r="P181" s="197"/>
      <c r="Q181" s="197"/>
    </row>
    <row r="182" spans="1:17" ht="16.5" x14ac:dyDescent="0.25">
      <c r="A182" s="497"/>
      <c r="B182" s="497"/>
      <c r="C182" s="497"/>
      <c r="D182" s="497"/>
      <c r="E182" s="497"/>
      <c r="F182" s="497"/>
      <c r="G182" s="497"/>
      <c r="H182" s="497"/>
      <c r="I182" s="497"/>
      <c r="J182" s="497"/>
      <c r="K182" s="497"/>
      <c r="L182" s="497"/>
      <c r="M182" s="497"/>
      <c r="N182" s="497"/>
      <c r="O182" s="197"/>
      <c r="P182" s="197"/>
      <c r="Q182" s="197"/>
    </row>
    <row r="183" spans="1:17" ht="16.5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1:17" ht="16.5" x14ac:dyDescent="0.25">
      <c r="A184" s="498"/>
      <c r="B184" s="498"/>
      <c r="C184" s="498"/>
      <c r="D184" s="498"/>
      <c r="E184" s="498"/>
      <c r="F184" s="225"/>
      <c r="G184" s="225"/>
      <c r="H184" s="225"/>
      <c r="I184" s="498"/>
      <c r="J184" s="498"/>
      <c r="K184" s="498"/>
      <c r="L184" s="498"/>
      <c r="M184" s="498"/>
      <c r="N184" s="498"/>
      <c r="O184" s="498"/>
      <c r="P184" s="498"/>
      <c r="Q184" s="498"/>
    </row>
    <row r="185" spans="1:17" ht="16.5" x14ac:dyDescent="0.25">
      <c r="A185" s="222"/>
      <c r="B185" s="222"/>
      <c r="C185" s="222"/>
      <c r="D185" s="222"/>
      <c r="E185" s="222"/>
      <c r="F185" s="222"/>
      <c r="G185" s="222"/>
      <c r="H185" s="93"/>
      <c r="I185" s="85"/>
      <c r="J185" s="85"/>
      <c r="K185" s="85"/>
      <c r="L185" s="85"/>
      <c r="M185" s="85"/>
      <c r="N185" s="93"/>
      <c r="O185" s="93"/>
      <c r="P185" s="94"/>
      <c r="Q185" s="95"/>
    </row>
    <row r="186" spans="1:17" ht="16.5" x14ac:dyDescent="0.25">
      <c r="A186" s="526" t="s">
        <v>97</v>
      </c>
      <c r="B186" s="526"/>
      <c r="C186" s="526"/>
      <c r="D186" s="526"/>
      <c r="E186" s="526"/>
      <c r="F186" s="526"/>
      <c r="G186" s="526"/>
      <c r="H186" s="526"/>
      <c r="I186" s="526"/>
      <c r="J186" s="85"/>
      <c r="K186" s="85"/>
      <c r="L186" s="85"/>
      <c r="M186" s="85"/>
      <c r="N186" s="497" t="s">
        <v>98</v>
      </c>
      <c r="O186" s="543" t="s">
        <v>99</v>
      </c>
      <c r="P186" s="543"/>
      <c r="Q186" s="543"/>
    </row>
    <row r="187" spans="1:17" ht="16.5" x14ac:dyDescent="0.25">
      <c r="A187" s="497"/>
      <c r="B187" s="497"/>
      <c r="C187" s="497"/>
      <c r="D187" s="497"/>
      <c r="E187" s="497"/>
      <c r="F187" s="497"/>
      <c r="G187" s="497"/>
      <c r="H187" s="497"/>
      <c r="I187" s="497"/>
      <c r="J187" s="497"/>
      <c r="K187" s="497"/>
      <c r="L187" s="497"/>
      <c r="M187" s="497"/>
      <c r="N187" s="497"/>
      <c r="O187" s="96"/>
      <c r="P187" s="97"/>
      <c r="Q187" s="97"/>
    </row>
    <row r="188" spans="1:17" ht="16.5" x14ac:dyDescent="0.25">
      <c r="A188" s="498"/>
      <c r="B188" s="498"/>
      <c r="C188" s="498"/>
      <c r="D188" s="498"/>
      <c r="E188" s="498"/>
      <c r="F188" s="225"/>
      <c r="G188" s="225"/>
      <c r="H188" s="225"/>
      <c r="I188" s="498"/>
      <c r="J188" s="498"/>
      <c r="K188" s="498"/>
      <c r="L188" s="498"/>
      <c r="M188" s="498"/>
      <c r="N188" s="498"/>
      <c r="O188" s="498"/>
      <c r="P188" s="498"/>
      <c r="Q188" s="498"/>
    </row>
    <row r="189" spans="1:17" ht="16.5" x14ac:dyDescent="0.25">
      <c r="A189" s="498"/>
      <c r="B189" s="498"/>
      <c r="C189" s="498"/>
      <c r="D189" s="498"/>
      <c r="E189" s="498"/>
      <c r="F189" s="225"/>
      <c r="G189" s="225"/>
      <c r="H189" s="225"/>
      <c r="I189" s="498"/>
      <c r="J189" s="498"/>
      <c r="K189" s="498"/>
      <c r="L189" s="498"/>
      <c r="M189" s="498"/>
      <c r="N189" s="498"/>
      <c r="O189" s="498"/>
      <c r="P189" s="498"/>
      <c r="Q189" s="498"/>
    </row>
    <row r="190" spans="1:17" ht="16.5" x14ac:dyDescent="0.25">
      <c r="A190" s="498"/>
      <c r="B190" s="498"/>
      <c r="C190" s="498"/>
      <c r="D190" s="498"/>
      <c r="E190" s="498"/>
      <c r="F190" s="225"/>
      <c r="G190" s="225"/>
      <c r="H190" s="225"/>
      <c r="I190" s="498"/>
      <c r="J190" s="498"/>
      <c r="K190" s="498"/>
      <c r="L190" s="498"/>
      <c r="M190" s="498"/>
      <c r="N190" s="498"/>
      <c r="O190" s="498"/>
      <c r="P190" s="498"/>
      <c r="Q190" s="498"/>
    </row>
    <row r="191" spans="1:17" ht="16.5" x14ac:dyDescent="0.25">
      <c r="A191" s="498"/>
      <c r="B191" s="498"/>
      <c r="C191" s="498"/>
      <c r="D191" s="498"/>
      <c r="E191" s="498"/>
      <c r="F191" s="225"/>
      <c r="G191" s="225"/>
      <c r="H191" s="225"/>
      <c r="I191" s="498"/>
      <c r="J191" s="498"/>
      <c r="K191" s="498"/>
      <c r="L191" s="498"/>
      <c r="M191" s="498"/>
      <c r="N191" s="498"/>
      <c r="O191" s="498"/>
      <c r="P191" s="498"/>
      <c r="Q191" s="498"/>
    </row>
    <row r="192" spans="1:17" ht="16.5" x14ac:dyDescent="0.25">
      <c r="A192" s="498"/>
      <c r="B192" s="498"/>
      <c r="C192" s="498"/>
      <c r="D192" s="498"/>
      <c r="E192" s="498"/>
      <c r="F192" s="225"/>
      <c r="G192" s="225"/>
      <c r="H192" s="225"/>
      <c r="I192" s="498"/>
      <c r="J192" s="498"/>
      <c r="K192" s="498"/>
      <c r="L192" s="498"/>
      <c r="M192" s="498"/>
      <c r="N192" s="498"/>
      <c r="O192" s="498"/>
      <c r="P192" s="498"/>
      <c r="Q192" s="498"/>
    </row>
    <row r="193" spans="1:17" ht="16.5" x14ac:dyDescent="0.25">
      <c r="A193" s="498"/>
      <c r="B193" s="498"/>
      <c r="C193" s="498"/>
      <c r="D193" s="498"/>
      <c r="E193" s="498"/>
      <c r="F193" s="225"/>
      <c r="G193" s="225"/>
      <c r="H193" s="225"/>
      <c r="I193" s="498"/>
      <c r="J193" s="498"/>
      <c r="K193" s="498"/>
      <c r="L193" s="498"/>
      <c r="M193" s="498"/>
      <c r="N193" s="498"/>
      <c r="O193" s="498"/>
      <c r="P193" s="498"/>
      <c r="Q193" s="498"/>
    </row>
    <row r="194" spans="1:17" ht="16.5" x14ac:dyDescent="0.25">
      <c r="A194" s="498"/>
      <c r="B194" s="498"/>
      <c r="C194" s="498"/>
      <c r="D194" s="498"/>
      <c r="E194" s="498"/>
      <c r="F194" s="225"/>
      <c r="G194" s="225"/>
      <c r="H194" s="225"/>
      <c r="I194" s="498"/>
      <c r="J194" s="498"/>
      <c r="K194" s="498"/>
      <c r="L194" s="498"/>
      <c r="M194" s="498"/>
      <c r="N194" s="498"/>
      <c r="O194" s="498"/>
      <c r="P194" s="498"/>
      <c r="Q194" s="498"/>
    </row>
    <row r="195" spans="1:17" ht="17.25" thickBot="1" x14ac:dyDescent="0.3">
      <c r="A195" s="498"/>
      <c r="B195" s="498"/>
      <c r="C195" s="498"/>
      <c r="D195" s="498"/>
      <c r="E195" s="498"/>
      <c r="F195" s="225"/>
      <c r="G195" s="225"/>
      <c r="H195" s="225"/>
      <c r="I195" s="498"/>
      <c r="J195" s="498"/>
      <c r="K195" s="498"/>
      <c r="L195" s="498"/>
      <c r="M195" s="498"/>
      <c r="N195" s="498"/>
      <c r="O195" s="498"/>
      <c r="P195" s="498"/>
      <c r="Q195" s="498"/>
    </row>
    <row r="196" spans="1:17" ht="15.75" thickBot="1" x14ac:dyDescent="0.25">
      <c r="A196" s="544">
        <v>3</v>
      </c>
      <c r="B196" s="545"/>
      <c r="C196" s="545"/>
      <c r="D196" s="545"/>
      <c r="E196" s="545"/>
      <c r="F196" s="545"/>
      <c r="G196" s="545"/>
      <c r="H196" s="545"/>
      <c r="I196" s="545"/>
      <c r="J196" s="545"/>
      <c r="K196" s="545"/>
      <c r="L196" s="545"/>
      <c r="M196" s="545"/>
      <c r="N196" s="545"/>
      <c r="O196" s="545"/>
      <c r="P196" s="545"/>
      <c r="Q196" s="546"/>
    </row>
    <row r="197" spans="1:17" ht="15.75" x14ac:dyDescent="0.25">
      <c r="A197" s="547" t="s">
        <v>0</v>
      </c>
      <c r="B197" s="548"/>
      <c r="C197" s="548"/>
      <c r="D197" s="548"/>
      <c r="E197" s="548"/>
      <c r="F197" s="548"/>
      <c r="G197" s="548"/>
      <c r="H197" s="548"/>
      <c r="I197" s="548"/>
      <c r="J197" s="548"/>
      <c r="K197" s="548"/>
      <c r="L197" s="548"/>
      <c r="M197" s="548"/>
      <c r="N197" s="548"/>
      <c r="O197" s="548"/>
      <c r="P197" s="548"/>
      <c r="Q197" s="549"/>
    </row>
    <row r="198" spans="1:17" ht="15" x14ac:dyDescent="0.2">
      <c r="A198" s="60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2"/>
      <c r="Q198" s="63" t="s">
        <v>1</v>
      </c>
    </row>
    <row r="199" spans="1:17" ht="15.75" x14ac:dyDescent="0.25">
      <c r="A199" s="64" t="s">
        <v>2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5"/>
      <c r="P199" s="66" t="s">
        <v>3</v>
      </c>
      <c r="Q199" s="67"/>
    </row>
    <row r="200" spans="1:17" ht="15.75" x14ac:dyDescent="0.25">
      <c r="A200" s="64" t="s">
        <v>4</v>
      </c>
      <c r="B200" s="61"/>
      <c r="C200" s="61">
        <v>5120</v>
      </c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8"/>
      <c r="P200" s="69" t="s">
        <v>5</v>
      </c>
      <c r="Q200" s="70"/>
    </row>
    <row r="201" spans="1:17" ht="15.75" x14ac:dyDescent="0.25">
      <c r="A201" s="64" t="s">
        <v>6</v>
      </c>
      <c r="B201" s="68"/>
      <c r="C201" s="68" t="s">
        <v>7</v>
      </c>
      <c r="D201" s="68"/>
      <c r="E201" s="68"/>
      <c r="F201" s="61"/>
      <c r="G201" s="61"/>
      <c r="H201" s="61"/>
      <c r="I201" s="61"/>
      <c r="J201" s="61"/>
      <c r="K201" s="61"/>
      <c r="L201" s="61"/>
      <c r="M201" s="61"/>
      <c r="N201" s="61"/>
      <c r="O201" s="68"/>
      <c r="P201" s="69" t="s">
        <v>8</v>
      </c>
      <c r="Q201" s="70"/>
    </row>
    <row r="202" spans="1:17" ht="16.5" thickBot="1" x14ac:dyDescent="0.3">
      <c r="A202" s="64" t="s">
        <v>9</v>
      </c>
      <c r="B202" s="68">
        <v>2016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8"/>
      <c r="P202" s="71" t="s">
        <v>10</v>
      </c>
      <c r="Q202" s="72"/>
    </row>
    <row r="203" spans="1:17" ht="15.75" x14ac:dyDescent="0.25">
      <c r="A203" s="550" t="s">
        <v>11</v>
      </c>
      <c r="B203" s="551"/>
      <c r="C203" s="551"/>
      <c r="D203" s="551"/>
      <c r="E203" s="551"/>
      <c r="F203" s="551"/>
      <c r="G203" s="551"/>
      <c r="H203" s="551"/>
      <c r="I203" s="551"/>
      <c r="J203" s="551"/>
      <c r="K203" s="551"/>
      <c r="L203" s="552"/>
      <c r="M203" s="493"/>
      <c r="N203" s="493"/>
      <c r="O203" s="553" t="s">
        <v>12</v>
      </c>
      <c r="P203" s="551"/>
      <c r="Q203" s="554"/>
    </row>
    <row r="204" spans="1:17" ht="15.75" x14ac:dyDescent="0.25">
      <c r="A204" s="555">
        <v>2</v>
      </c>
      <c r="B204" s="556"/>
      <c r="C204" s="556"/>
      <c r="D204" s="556"/>
      <c r="E204" s="556"/>
      <c r="F204" s="556"/>
      <c r="G204" s="557"/>
      <c r="H204" s="78" t="s">
        <v>13</v>
      </c>
      <c r="I204" s="79"/>
      <c r="J204" s="79"/>
      <c r="K204" s="79"/>
      <c r="L204" s="232"/>
      <c r="M204" s="232"/>
      <c r="N204" s="232"/>
      <c r="O204" s="80" t="s">
        <v>14</v>
      </c>
      <c r="P204" s="80" t="s">
        <v>15</v>
      </c>
      <c r="Q204" s="84" t="s">
        <v>16</v>
      </c>
    </row>
    <row r="205" spans="1:17" ht="15.75" x14ac:dyDescent="0.25">
      <c r="A205" s="558" t="s">
        <v>17</v>
      </c>
      <c r="B205" s="494" t="s">
        <v>18</v>
      </c>
      <c r="C205" s="560" t="s">
        <v>19</v>
      </c>
      <c r="D205" s="494" t="s">
        <v>20</v>
      </c>
      <c r="E205" s="494" t="s">
        <v>21</v>
      </c>
      <c r="F205" s="562" t="s">
        <v>22</v>
      </c>
      <c r="G205" s="560" t="s">
        <v>23</v>
      </c>
      <c r="H205" s="560" t="s">
        <v>112</v>
      </c>
      <c r="I205" s="560" t="s">
        <v>113</v>
      </c>
      <c r="J205" s="494"/>
      <c r="K205" s="494"/>
      <c r="L205" s="494" t="s">
        <v>18</v>
      </c>
      <c r="M205" s="494"/>
      <c r="N205" s="494"/>
      <c r="O205" s="564">
        <v>3</v>
      </c>
      <c r="P205" s="564">
        <v>4</v>
      </c>
      <c r="Q205" s="566">
        <v>5</v>
      </c>
    </row>
    <row r="206" spans="1:17" ht="16.5" thickBot="1" x14ac:dyDescent="0.3">
      <c r="A206" s="559"/>
      <c r="B206" s="504" t="s">
        <v>17</v>
      </c>
      <c r="C206" s="561"/>
      <c r="D206" s="504" t="s">
        <v>26</v>
      </c>
      <c r="E206" s="504" t="s">
        <v>27</v>
      </c>
      <c r="F206" s="563"/>
      <c r="G206" s="561"/>
      <c r="H206" s="561"/>
      <c r="I206" s="561"/>
      <c r="J206" s="504"/>
      <c r="K206" s="504"/>
      <c r="L206" s="504" t="s">
        <v>113</v>
      </c>
      <c r="M206" s="504"/>
      <c r="N206" s="504"/>
      <c r="O206" s="565"/>
      <c r="P206" s="565"/>
      <c r="Q206" s="567"/>
    </row>
    <row r="207" spans="1:17" ht="16.5" x14ac:dyDescent="0.25">
      <c r="A207" s="116"/>
      <c r="B207" s="116"/>
      <c r="C207" s="116"/>
      <c r="D207" s="86"/>
      <c r="E207" s="116"/>
      <c r="F207" s="86"/>
      <c r="G207" s="116"/>
      <c r="H207" s="116"/>
      <c r="I207" s="86"/>
      <c r="J207" s="116"/>
      <c r="K207" s="86"/>
      <c r="L207" s="211"/>
      <c r="M207" s="116"/>
      <c r="N207" s="86"/>
      <c r="O207" s="116"/>
      <c r="P207" s="86"/>
      <c r="Q207" s="116"/>
    </row>
    <row r="208" spans="1:17" ht="16.5" x14ac:dyDescent="0.25">
      <c r="A208" s="113"/>
      <c r="B208" s="113"/>
      <c r="C208" s="113"/>
      <c r="D208" s="85"/>
      <c r="E208" s="113"/>
      <c r="F208" s="85"/>
      <c r="G208" s="113"/>
      <c r="H208" s="322">
        <v>2</v>
      </c>
      <c r="I208" s="323">
        <v>1</v>
      </c>
      <c r="J208" s="322"/>
      <c r="K208" s="323"/>
      <c r="L208" s="324"/>
      <c r="M208" s="322"/>
      <c r="N208" s="315" t="s">
        <v>33</v>
      </c>
      <c r="O208" s="316">
        <f>+P208-Q208</f>
        <v>3412.7600000000093</v>
      </c>
      <c r="P208" s="317">
        <f>+P210+P213</f>
        <v>396350</v>
      </c>
      <c r="Q208" s="316">
        <f>+Q210+Q213</f>
        <v>392937.24</v>
      </c>
    </row>
    <row r="209" spans="1:18" ht="16.5" x14ac:dyDescent="0.25">
      <c r="A209" s="113"/>
      <c r="B209" s="113"/>
      <c r="C209" s="113"/>
      <c r="D209" s="85"/>
      <c r="E209" s="113"/>
      <c r="F209" s="85"/>
      <c r="G209" s="113"/>
      <c r="H209" s="212"/>
      <c r="I209" s="213"/>
      <c r="J209" s="212"/>
      <c r="K209" s="213"/>
      <c r="L209" s="214"/>
      <c r="M209" s="212"/>
      <c r="N209" s="87"/>
      <c r="O209" s="215"/>
      <c r="P209" s="216"/>
      <c r="Q209" s="215"/>
    </row>
    <row r="210" spans="1:18" ht="16.5" x14ac:dyDescent="0.25">
      <c r="A210" s="113"/>
      <c r="B210" s="113"/>
      <c r="C210" s="113"/>
      <c r="D210" s="85"/>
      <c r="E210" s="113"/>
      <c r="F210" s="85"/>
      <c r="G210" s="113"/>
      <c r="H210" s="119">
        <v>2</v>
      </c>
      <c r="I210" s="87">
        <v>1</v>
      </c>
      <c r="J210" s="119">
        <v>1</v>
      </c>
      <c r="K210" s="87"/>
      <c r="L210" s="220"/>
      <c r="M210" s="119"/>
      <c r="N210" s="87" t="s">
        <v>35</v>
      </c>
      <c r="O210" s="215"/>
      <c r="P210" s="216">
        <f>+P211</f>
        <v>336000</v>
      </c>
      <c r="Q210" s="215">
        <f>+Q211</f>
        <v>336000</v>
      </c>
    </row>
    <row r="211" spans="1:18" ht="16.5" x14ac:dyDescent="0.25">
      <c r="A211" s="113"/>
      <c r="B211" s="113"/>
      <c r="C211" s="113"/>
      <c r="D211" s="85"/>
      <c r="E211" s="113"/>
      <c r="F211" s="85"/>
      <c r="G211" s="113">
        <v>100</v>
      </c>
      <c r="H211" s="113">
        <v>2</v>
      </c>
      <c r="I211" s="85">
        <v>1</v>
      </c>
      <c r="J211" s="113">
        <v>1</v>
      </c>
      <c r="K211" s="85">
        <v>1</v>
      </c>
      <c r="L211" s="217">
        <v>0</v>
      </c>
      <c r="M211" s="113">
        <v>1</v>
      </c>
      <c r="N211" s="88" t="s">
        <v>100</v>
      </c>
      <c r="O211" s="215"/>
      <c r="P211" s="187">
        <v>336000</v>
      </c>
      <c r="Q211" s="188">
        <v>336000</v>
      </c>
    </row>
    <row r="212" spans="1:18" ht="16.5" x14ac:dyDescent="0.25">
      <c r="A212" s="113"/>
      <c r="B212" s="113"/>
      <c r="C212" s="113"/>
      <c r="D212" s="85"/>
      <c r="E212" s="113"/>
      <c r="F212" s="85"/>
      <c r="G212" s="113"/>
      <c r="H212" s="113"/>
      <c r="I212" s="85"/>
      <c r="J212" s="113"/>
      <c r="K212" s="85"/>
      <c r="L212" s="217"/>
      <c r="M212" s="113"/>
      <c r="N212" s="88"/>
      <c r="O212" s="215"/>
      <c r="P212" s="187"/>
      <c r="Q212" s="188"/>
    </row>
    <row r="213" spans="1:18" ht="16.5" x14ac:dyDescent="0.25">
      <c r="A213" s="113"/>
      <c r="B213" s="113"/>
      <c r="C213" s="113"/>
      <c r="D213" s="85"/>
      <c r="E213" s="113"/>
      <c r="F213" s="85"/>
      <c r="G213" s="113"/>
      <c r="H213" s="113">
        <v>2</v>
      </c>
      <c r="I213" s="85">
        <v>1</v>
      </c>
      <c r="J213" s="113">
        <v>2</v>
      </c>
      <c r="K213" s="85"/>
      <c r="L213" s="217"/>
      <c r="M213" s="113"/>
      <c r="N213" s="330" t="s">
        <v>101</v>
      </c>
      <c r="O213" s="215"/>
      <c r="P213" s="216">
        <f>+P214</f>
        <v>60350</v>
      </c>
      <c r="Q213" s="215">
        <f>+Q214</f>
        <v>56937.24</v>
      </c>
    </row>
    <row r="214" spans="1:18" ht="16.5" x14ac:dyDescent="0.25">
      <c r="A214" s="113"/>
      <c r="B214" s="113"/>
      <c r="C214" s="113"/>
      <c r="D214" s="85"/>
      <c r="E214" s="113"/>
      <c r="F214" s="85"/>
      <c r="G214" s="113">
        <v>9995</v>
      </c>
      <c r="H214" s="113">
        <v>2</v>
      </c>
      <c r="I214" s="85">
        <v>1</v>
      </c>
      <c r="J214" s="113">
        <v>2</v>
      </c>
      <c r="K214" s="85">
        <v>2</v>
      </c>
      <c r="L214" s="217">
        <v>0</v>
      </c>
      <c r="M214" s="113">
        <v>6</v>
      </c>
      <c r="N214" s="88" t="s">
        <v>114</v>
      </c>
      <c r="O214" s="215"/>
      <c r="P214" s="187">
        <f>45050+15300</f>
        <v>60350</v>
      </c>
      <c r="Q214" s="188">
        <f>41637.24+15300</f>
        <v>56937.24</v>
      </c>
    </row>
    <row r="215" spans="1:18" ht="17.25" thickBot="1" x14ac:dyDescent="0.3">
      <c r="A215" s="113"/>
      <c r="B215" s="113"/>
      <c r="C215" s="113"/>
      <c r="D215" s="85"/>
      <c r="E215" s="113"/>
      <c r="F215" s="85"/>
      <c r="G215" s="113"/>
      <c r="H215" s="120"/>
      <c r="I215" s="88"/>
      <c r="J215" s="120"/>
      <c r="K215" s="88"/>
      <c r="L215" s="218"/>
      <c r="M215" s="121"/>
      <c r="N215" s="88"/>
      <c r="O215" s="125"/>
      <c r="P215" s="91"/>
      <c r="Q215" s="125"/>
      <c r="R215" s="109"/>
    </row>
    <row r="216" spans="1:18" ht="17.25" thickBot="1" x14ac:dyDescent="0.3">
      <c r="A216" s="541" t="s">
        <v>95</v>
      </c>
      <c r="B216" s="542"/>
      <c r="C216" s="542"/>
      <c r="D216" s="542"/>
      <c r="E216" s="542"/>
      <c r="F216" s="542"/>
      <c r="G216" s="542"/>
      <c r="H216" s="542"/>
      <c r="I216" s="542"/>
      <c r="J216" s="542"/>
      <c r="K216" s="542"/>
      <c r="L216" s="542"/>
      <c r="M216" s="506"/>
      <c r="N216" s="506"/>
      <c r="O216" s="221">
        <f>+O208</f>
        <v>3412.7600000000093</v>
      </c>
      <c r="P216" s="221">
        <f>+P208</f>
        <v>396350</v>
      </c>
      <c r="Q216" s="236">
        <f>+Q208</f>
        <v>392937.24</v>
      </c>
      <c r="R216" s="109"/>
    </row>
    <row r="217" spans="1:18" ht="17.25" thickBot="1" x14ac:dyDescent="0.3">
      <c r="A217" s="541" t="s">
        <v>115</v>
      </c>
      <c r="B217" s="542"/>
      <c r="C217" s="542"/>
      <c r="D217" s="542"/>
      <c r="E217" s="542"/>
      <c r="F217" s="542"/>
      <c r="G217" s="542"/>
      <c r="H217" s="542"/>
      <c r="I217" s="542"/>
      <c r="J217" s="542"/>
      <c r="K217" s="542"/>
      <c r="L217" s="542"/>
      <c r="M217" s="100"/>
      <c r="N217" s="100"/>
      <c r="O217" s="221">
        <f>+O216+O177+O105</f>
        <v>1866544.4100000001</v>
      </c>
      <c r="P217" s="98">
        <f>+P216+P177+P105</f>
        <v>9649102.7899999991</v>
      </c>
      <c r="Q217" s="221">
        <f>+Q216+Q177+Q105</f>
        <v>7782558.379999999</v>
      </c>
      <c r="R217" s="109"/>
    </row>
    <row r="218" spans="1:18" ht="16.5" x14ac:dyDescent="0.25">
      <c r="A218" s="85"/>
      <c r="B218" s="85"/>
      <c r="C218" s="85"/>
      <c r="D218" s="85"/>
      <c r="E218" s="85"/>
      <c r="F218" s="85"/>
      <c r="G218" s="85"/>
      <c r="H218" s="90"/>
      <c r="I218" s="90"/>
      <c r="J218" s="90"/>
      <c r="K218" s="90"/>
      <c r="L218" s="90"/>
      <c r="M218" s="90"/>
      <c r="N218" s="90"/>
      <c r="O218" s="92"/>
      <c r="P218" s="92"/>
      <c r="Q218" s="92"/>
    </row>
    <row r="219" spans="1:18" ht="16.5" x14ac:dyDescent="0.25">
      <c r="A219" s="497"/>
      <c r="B219" s="497"/>
      <c r="C219" s="497"/>
      <c r="D219" s="497"/>
      <c r="E219" s="497"/>
      <c r="F219" s="497"/>
      <c r="G219" s="497"/>
      <c r="H219" s="497"/>
      <c r="I219" s="497"/>
      <c r="J219" s="497"/>
      <c r="K219" s="497"/>
      <c r="L219" s="497"/>
      <c r="M219" s="497"/>
      <c r="N219" s="497"/>
      <c r="O219" s="184">
        <f>+'VAR. CXP '!D17-'EJEC GTO  (3)'!O217</f>
        <v>612990.4299999997</v>
      </c>
      <c r="P219" s="97"/>
      <c r="Q219" s="251"/>
    </row>
    <row r="220" spans="1:18" ht="16.5" x14ac:dyDescent="0.25">
      <c r="A220" s="497"/>
      <c r="B220" s="497"/>
      <c r="C220" s="497"/>
      <c r="D220" s="497"/>
      <c r="E220" s="497"/>
      <c r="F220" s="497"/>
      <c r="G220" s="497"/>
      <c r="H220" s="497"/>
      <c r="I220" s="497"/>
      <c r="J220" s="497"/>
      <c r="K220" s="497"/>
      <c r="L220" s="497"/>
      <c r="M220" s="497"/>
      <c r="N220" s="497"/>
      <c r="O220" s="96"/>
      <c r="P220" s="97"/>
      <c r="Q220" s="97"/>
    </row>
    <row r="221" spans="1:18" ht="16.5" x14ac:dyDescent="0.25">
      <c r="A221" s="498"/>
      <c r="B221" s="498"/>
      <c r="C221" s="498"/>
      <c r="D221" s="498"/>
      <c r="E221" s="498"/>
      <c r="F221" s="225"/>
      <c r="G221" s="225"/>
      <c r="H221" s="225"/>
      <c r="I221" s="498"/>
      <c r="J221" s="498"/>
      <c r="K221" s="498"/>
      <c r="L221" s="498"/>
      <c r="M221" s="498"/>
      <c r="N221" s="498"/>
      <c r="O221" s="183"/>
      <c r="P221" s="498"/>
      <c r="Q221" s="498"/>
    </row>
    <row r="222" spans="1:18" ht="16.5" x14ac:dyDescent="0.25">
      <c r="A222" s="222"/>
      <c r="B222" s="222"/>
      <c r="C222" s="222"/>
      <c r="D222" s="222"/>
      <c r="E222" s="222"/>
      <c r="F222" s="222"/>
      <c r="G222" s="222"/>
      <c r="H222" s="93"/>
      <c r="I222" s="85"/>
      <c r="J222" s="85"/>
      <c r="K222" s="85"/>
      <c r="L222" s="85"/>
      <c r="M222" s="85"/>
      <c r="N222" s="93"/>
      <c r="O222" s="93"/>
      <c r="P222" s="94"/>
      <c r="Q222" s="95"/>
    </row>
    <row r="223" spans="1:18" ht="16.5" x14ac:dyDescent="0.25">
      <c r="A223" s="526" t="s">
        <v>97</v>
      </c>
      <c r="B223" s="526"/>
      <c r="C223" s="526"/>
      <c r="D223" s="526"/>
      <c r="E223" s="526"/>
      <c r="F223" s="526"/>
      <c r="G223" s="526"/>
      <c r="H223" s="526"/>
      <c r="I223" s="526"/>
      <c r="J223" s="85"/>
      <c r="K223" s="85"/>
      <c r="L223" s="85"/>
      <c r="M223" s="85"/>
      <c r="N223" s="497" t="s">
        <v>98</v>
      </c>
      <c r="O223" s="543" t="s">
        <v>99</v>
      </c>
      <c r="P223" s="543"/>
      <c r="Q223" s="543"/>
    </row>
    <row r="224" spans="1:18" ht="16.5" x14ac:dyDescent="0.25">
      <c r="A224" s="497"/>
      <c r="B224" s="497"/>
      <c r="C224" s="497"/>
      <c r="D224" s="497"/>
      <c r="E224" s="497"/>
      <c r="F224" s="497"/>
      <c r="G224" s="497"/>
      <c r="H224" s="497"/>
      <c r="I224" s="497"/>
      <c r="J224" s="497"/>
      <c r="K224" s="497"/>
      <c r="L224" s="497"/>
      <c r="M224" s="497"/>
      <c r="N224" s="497"/>
      <c r="O224" s="96"/>
      <c r="P224" s="97"/>
      <c r="Q224" s="97"/>
    </row>
    <row r="225" spans="1:17" ht="16.5" x14ac:dyDescent="0.25">
      <c r="A225" s="497"/>
      <c r="B225" s="497"/>
      <c r="C225" s="497"/>
      <c r="D225" s="497"/>
      <c r="E225" s="497"/>
      <c r="F225" s="497"/>
      <c r="G225" s="497"/>
      <c r="H225" s="497"/>
      <c r="I225" s="497"/>
      <c r="J225" s="497"/>
      <c r="K225" s="497"/>
      <c r="L225" s="497"/>
      <c r="M225" s="497"/>
      <c r="N225" s="497"/>
      <c r="O225" s="96"/>
      <c r="P225" s="97"/>
      <c r="Q225" s="97"/>
    </row>
    <row r="226" spans="1:17" ht="16.5" x14ac:dyDescent="0.25">
      <c r="A226" s="497"/>
      <c r="B226" s="497"/>
      <c r="C226" s="497"/>
      <c r="D226" s="497"/>
      <c r="E226" s="497"/>
      <c r="F226" s="497"/>
      <c r="G226" s="497"/>
      <c r="H226" s="497"/>
      <c r="I226" s="497"/>
      <c r="J226" s="497"/>
      <c r="K226" s="497"/>
      <c r="L226" s="497"/>
      <c r="M226" s="497"/>
      <c r="N226" s="497"/>
      <c r="O226" s="96"/>
      <c r="P226" s="97"/>
      <c r="Q226" s="97"/>
    </row>
    <row r="227" spans="1:17" ht="16.5" x14ac:dyDescent="0.25">
      <c r="A227" s="497"/>
      <c r="B227" s="497"/>
      <c r="C227" s="497"/>
      <c r="D227" s="497"/>
      <c r="E227" s="497"/>
      <c r="F227" s="497"/>
      <c r="G227" s="497"/>
      <c r="H227" s="497"/>
      <c r="I227" s="497"/>
      <c r="J227" s="497"/>
      <c r="K227" s="497"/>
      <c r="L227" s="497"/>
      <c r="M227" s="497"/>
      <c r="N227" s="497"/>
      <c r="O227" s="96"/>
      <c r="P227" s="97"/>
      <c r="Q227" s="97"/>
    </row>
    <row r="228" spans="1:17" ht="17.25" thickBot="1" x14ac:dyDescent="0.3">
      <c r="A228" s="497"/>
      <c r="B228" s="497"/>
      <c r="C228" s="497"/>
      <c r="D228" s="497"/>
      <c r="E228" s="497"/>
      <c r="F228" s="497"/>
      <c r="G228" s="497"/>
      <c r="H228" s="497"/>
      <c r="I228" s="497"/>
      <c r="J228" s="497"/>
      <c r="K228" s="497"/>
      <c r="L228" s="497"/>
      <c r="M228" s="497"/>
      <c r="N228" s="497"/>
      <c r="O228" s="96"/>
      <c r="P228" s="97"/>
      <c r="Q228" s="97"/>
    </row>
    <row r="229" spans="1:17" ht="15.75" thickBot="1" x14ac:dyDescent="0.25">
      <c r="A229" s="544">
        <v>4</v>
      </c>
      <c r="B229" s="545"/>
      <c r="C229" s="545"/>
      <c r="D229" s="545"/>
      <c r="E229" s="545"/>
      <c r="F229" s="545"/>
      <c r="G229" s="545"/>
      <c r="H229" s="545"/>
      <c r="I229" s="545"/>
      <c r="J229" s="545"/>
      <c r="K229" s="545"/>
      <c r="L229" s="545"/>
      <c r="M229" s="545"/>
      <c r="N229" s="545"/>
      <c r="O229" s="545"/>
      <c r="P229" s="545"/>
      <c r="Q229" s="546"/>
    </row>
    <row r="230" spans="1:17" ht="15.75" x14ac:dyDescent="0.25">
      <c r="A230" s="547" t="s">
        <v>0</v>
      </c>
      <c r="B230" s="548"/>
      <c r="C230" s="548"/>
      <c r="D230" s="548"/>
      <c r="E230" s="548"/>
      <c r="F230" s="548"/>
      <c r="G230" s="548"/>
      <c r="H230" s="548"/>
      <c r="I230" s="548"/>
      <c r="J230" s="548"/>
      <c r="K230" s="548"/>
      <c r="L230" s="548"/>
      <c r="M230" s="548"/>
      <c r="N230" s="548"/>
      <c r="O230" s="548"/>
      <c r="P230" s="548"/>
      <c r="Q230" s="549"/>
    </row>
    <row r="231" spans="1:17" ht="15" x14ac:dyDescent="0.2">
      <c r="A231" s="60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2"/>
      <c r="Q231" s="63" t="s">
        <v>1</v>
      </c>
    </row>
    <row r="232" spans="1:17" ht="15.75" x14ac:dyDescent="0.25">
      <c r="A232" s="64" t="s">
        <v>2</v>
      </c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5"/>
      <c r="P232" s="66" t="s">
        <v>3</v>
      </c>
      <c r="Q232" s="67"/>
    </row>
    <row r="233" spans="1:17" ht="15.75" x14ac:dyDescent="0.25">
      <c r="A233" s="64" t="s">
        <v>4</v>
      </c>
      <c r="B233" s="61"/>
      <c r="C233" s="61">
        <v>5120</v>
      </c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8"/>
      <c r="P233" s="69" t="s">
        <v>5</v>
      </c>
      <c r="Q233" s="70"/>
    </row>
    <row r="234" spans="1:17" ht="15.75" x14ac:dyDescent="0.25">
      <c r="A234" s="64" t="s">
        <v>6</v>
      </c>
      <c r="B234" s="68"/>
      <c r="C234" s="68" t="s">
        <v>7</v>
      </c>
      <c r="D234" s="68"/>
      <c r="E234" s="68"/>
      <c r="F234" s="61"/>
      <c r="G234" s="61"/>
      <c r="H234" s="61"/>
      <c r="I234" s="61"/>
      <c r="J234" s="61"/>
      <c r="K234" s="61"/>
      <c r="L234" s="61"/>
      <c r="M234" s="61"/>
      <c r="N234" s="61"/>
      <c r="O234" s="68"/>
      <c r="P234" s="69" t="s">
        <v>8</v>
      </c>
      <c r="Q234" s="70"/>
    </row>
    <row r="235" spans="1:17" ht="16.5" thickBot="1" x14ac:dyDescent="0.3">
      <c r="A235" s="64" t="s">
        <v>9</v>
      </c>
      <c r="B235" s="68">
        <v>2016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8"/>
      <c r="P235" s="71" t="s">
        <v>10</v>
      </c>
      <c r="Q235" s="72"/>
    </row>
    <row r="236" spans="1:17" ht="15.75" x14ac:dyDescent="0.25">
      <c r="A236" s="550" t="s">
        <v>11</v>
      </c>
      <c r="B236" s="551"/>
      <c r="C236" s="551"/>
      <c r="D236" s="551"/>
      <c r="E236" s="551"/>
      <c r="F236" s="551"/>
      <c r="G236" s="551"/>
      <c r="H236" s="551"/>
      <c r="I236" s="551"/>
      <c r="J236" s="551"/>
      <c r="K236" s="551"/>
      <c r="L236" s="552"/>
      <c r="M236" s="493"/>
      <c r="N236" s="493"/>
      <c r="O236" s="553" t="s">
        <v>12</v>
      </c>
      <c r="P236" s="551"/>
      <c r="Q236" s="554"/>
    </row>
    <row r="237" spans="1:17" ht="16.5" thickBot="1" x14ac:dyDescent="0.3">
      <c r="A237" s="528">
        <v>2</v>
      </c>
      <c r="B237" s="529"/>
      <c r="C237" s="529"/>
      <c r="D237" s="529"/>
      <c r="E237" s="529"/>
      <c r="F237" s="529"/>
      <c r="G237" s="530"/>
      <c r="H237" s="66" t="s">
        <v>13</v>
      </c>
      <c r="I237" s="81"/>
      <c r="J237" s="81"/>
      <c r="K237" s="81"/>
      <c r="L237" s="82"/>
      <c r="M237" s="82"/>
      <c r="N237" s="82"/>
      <c r="O237" s="494" t="s">
        <v>14</v>
      </c>
      <c r="P237" s="494" t="s">
        <v>15</v>
      </c>
      <c r="Q237" s="83" t="s">
        <v>16</v>
      </c>
    </row>
    <row r="238" spans="1:17" ht="15.75" x14ac:dyDescent="0.25">
      <c r="A238" s="531" t="s">
        <v>17</v>
      </c>
      <c r="B238" s="507" t="s">
        <v>18</v>
      </c>
      <c r="C238" s="533" t="s">
        <v>19</v>
      </c>
      <c r="D238" s="507" t="s">
        <v>20</v>
      </c>
      <c r="E238" s="507" t="s">
        <v>21</v>
      </c>
      <c r="F238" s="535" t="s">
        <v>22</v>
      </c>
      <c r="G238" s="533" t="s">
        <v>23</v>
      </c>
      <c r="H238" s="533" t="s">
        <v>112</v>
      </c>
      <c r="I238" s="507" t="s">
        <v>113</v>
      </c>
      <c r="J238" s="507"/>
      <c r="K238" s="507"/>
      <c r="L238" s="507" t="s">
        <v>18</v>
      </c>
      <c r="M238" s="507"/>
      <c r="N238" s="507"/>
      <c r="O238" s="537">
        <v>3</v>
      </c>
      <c r="P238" s="537">
        <v>4</v>
      </c>
      <c r="Q238" s="539">
        <v>5</v>
      </c>
    </row>
    <row r="239" spans="1:17" ht="16.5" thickBot="1" x14ac:dyDescent="0.3">
      <c r="A239" s="532"/>
      <c r="B239" s="499" t="s">
        <v>17</v>
      </c>
      <c r="C239" s="534"/>
      <c r="D239" s="499" t="s">
        <v>26</v>
      </c>
      <c r="E239" s="499" t="s">
        <v>27</v>
      </c>
      <c r="F239" s="536"/>
      <c r="G239" s="534"/>
      <c r="H239" s="534"/>
      <c r="I239" s="499"/>
      <c r="J239" s="499"/>
      <c r="K239" s="499"/>
      <c r="L239" s="499" t="s">
        <v>113</v>
      </c>
      <c r="M239" s="499"/>
      <c r="N239" s="499"/>
      <c r="O239" s="538"/>
      <c r="P239" s="538"/>
      <c r="Q239" s="540"/>
    </row>
    <row r="240" spans="1:17" ht="16.5" x14ac:dyDescent="0.25">
      <c r="A240" s="127"/>
      <c r="B240" s="128"/>
      <c r="C240" s="102"/>
      <c r="D240" s="128"/>
      <c r="E240" s="102"/>
      <c r="F240" s="128"/>
      <c r="G240" s="102"/>
      <c r="H240" s="128"/>
      <c r="I240" s="102"/>
      <c r="J240" s="128"/>
      <c r="K240" s="102"/>
      <c r="L240" s="128"/>
      <c r="M240" s="102"/>
      <c r="N240" s="128"/>
      <c r="O240" s="130"/>
      <c r="P240" s="131"/>
      <c r="Q240" s="157"/>
    </row>
    <row r="241" spans="1:20" ht="16.5" x14ac:dyDescent="0.25">
      <c r="A241" s="114">
        <v>11</v>
      </c>
      <c r="B241" s="113" t="s">
        <v>31</v>
      </c>
      <c r="C241" s="85" t="s">
        <v>31</v>
      </c>
      <c r="D241" s="174">
        <v>0.1</v>
      </c>
      <c r="E241" s="85" t="s">
        <v>32</v>
      </c>
      <c r="F241" s="113" t="s">
        <v>34</v>
      </c>
      <c r="G241" s="90"/>
      <c r="H241" s="119">
        <v>4</v>
      </c>
      <c r="I241" s="87"/>
      <c r="J241" s="119"/>
      <c r="K241" s="87"/>
      <c r="L241" s="119"/>
      <c r="M241" s="87"/>
      <c r="N241" s="119" t="s">
        <v>116</v>
      </c>
      <c r="O241" s="92"/>
      <c r="P241" s="123"/>
      <c r="Q241" s="123"/>
    </row>
    <row r="242" spans="1:20" ht="16.5" x14ac:dyDescent="0.25">
      <c r="A242" s="114"/>
      <c r="B242" s="112"/>
      <c r="C242" s="90"/>
      <c r="D242" s="174"/>
      <c r="E242" s="90"/>
      <c r="F242" s="112"/>
      <c r="G242" s="90"/>
      <c r="H242" s="119"/>
      <c r="I242" s="87"/>
      <c r="J242" s="119"/>
      <c r="K242" s="87"/>
      <c r="L242" s="119"/>
      <c r="M242" s="87"/>
      <c r="N242" s="119"/>
      <c r="O242" s="92"/>
      <c r="P242" s="123"/>
      <c r="Q242" s="123"/>
    </row>
    <row r="243" spans="1:20" ht="16.5" x14ac:dyDescent="0.25">
      <c r="A243" s="114"/>
      <c r="B243" s="113" t="s">
        <v>31</v>
      </c>
      <c r="C243" s="85" t="s">
        <v>31</v>
      </c>
      <c r="D243" s="129"/>
      <c r="E243" s="85" t="s">
        <v>32</v>
      </c>
      <c r="F243" s="113" t="s">
        <v>34</v>
      </c>
      <c r="G243" s="90"/>
      <c r="H243" s="132">
        <v>4</v>
      </c>
      <c r="I243" s="105">
        <v>1</v>
      </c>
      <c r="J243" s="132">
        <v>1</v>
      </c>
      <c r="K243" s="105"/>
      <c r="L243" s="132"/>
      <c r="M243" s="105"/>
      <c r="N243" s="156" t="s">
        <v>117</v>
      </c>
      <c r="O243" s="92"/>
      <c r="P243" s="123"/>
      <c r="Q243" s="123"/>
    </row>
    <row r="244" spans="1:20" ht="16.5" x14ac:dyDescent="0.25">
      <c r="A244" s="114"/>
      <c r="B244" s="112"/>
      <c r="C244" s="90"/>
      <c r="D244" s="112"/>
      <c r="E244" s="90"/>
      <c r="F244" s="112"/>
      <c r="G244" s="90"/>
      <c r="H244" s="133">
        <v>4</v>
      </c>
      <c r="I244" s="106">
        <v>1</v>
      </c>
      <c r="J244" s="133">
        <v>1</v>
      </c>
      <c r="K244" s="106">
        <v>1</v>
      </c>
      <c r="L244" s="133">
        <v>1</v>
      </c>
      <c r="M244" s="106"/>
      <c r="N244" s="133" t="s">
        <v>118</v>
      </c>
      <c r="O244" s="92"/>
      <c r="P244" s="124"/>
      <c r="Q244" s="123"/>
    </row>
    <row r="245" spans="1:20" ht="16.5" x14ac:dyDescent="0.25">
      <c r="A245" s="114"/>
      <c r="B245" s="112"/>
      <c r="C245" s="90"/>
      <c r="D245" s="112"/>
      <c r="E245" s="90"/>
      <c r="F245" s="112"/>
      <c r="G245" s="90"/>
      <c r="H245" s="133"/>
      <c r="I245" s="106"/>
      <c r="J245" s="133"/>
      <c r="K245" s="106"/>
      <c r="L245" s="133"/>
      <c r="M245" s="106"/>
      <c r="N245" s="133"/>
      <c r="O245" s="92"/>
      <c r="P245" s="124"/>
      <c r="Q245" s="123"/>
    </row>
    <row r="246" spans="1:20" ht="16.5" x14ac:dyDescent="0.25">
      <c r="A246" s="114"/>
      <c r="B246" s="112"/>
      <c r="C246" s="90"/>
      <c r="D246" s="112"/>
      <c r="E246" s="90"/>
      <c r="F246" s="112"/>
      <c r="G246" s="90"/>
      <c r="H246" s="120"/>
      <c r="I246" s="88"/>
      <c r="J246" s="120"/>
      <c r="K246" s="88"/>
      <c r="L246" s="120"/>
      <c r="M246" s="88"/>
      <c r="N246" s="120"/>
      <c r="O246" s="91"/>
      <c r="P246" s="124"/>
      <c r="Q246" s="124"/>
      <c r="R246" s="109"/>
      <c r="S246" s="109"/>
      <c r="T246" s="109"/>
    </row>
    <row r="247" spans="1:20" ht="16.5" x14ac:dyDescent="0.25">
      <c r="A247" s="114"/>
      <c r="B247" s="113" t="s">
        <v>31</v>
      </c>
      <c r="C247" s="85" t="s">
        <v>31</v>
      </c>
      <c r="D247" s="129"/>
      <c r="E247" s="85" t="s">
        <v>32</v>
      </c>
      <c r="F247" s="113" t="s">
        <v>34</v>
      </c>
      <c r="G247" s="90"/>
      <c r="H247" s="304">
        <v>4</v>
      </c>
      <c r="I247" s="315">
        <v>2</v>
      </c>
      <c r="J247" s="304">
        <v>1</v>
      </c>
      <c r="K247" s="315"/>
      <c r="L247" s="304"/>
      <c r="M247" s="315"/>
      <c r="N247" s="304" t="s">
        <v>119</v>
      </c>
      <c r="O247" s="325"/>
      <c r="P247" s="298">
        <f>+P248</f>
        <v>440740.89</v>
      </c>
      <c r="Q247" s="298">
        <f>+Q248</f>
        <v>3559291.25</v>
      </c>
      <c r="R247" s="160"/>
      <c r="S247" s="109"/>
      <c r="T247" s="109"/>
    </row>
    <row r="248" spans="1:20" ht="33.75" thickBot="1" x14ac:dyDescent="0.3">
      <c r="A248" s="115"/>
      <c r="B248" s="117"/>
      <c r="C248" s="118"/>
      <c r="D248" s="117"/>
      <c r="E248" s="118"/>
      <c r="F248" s="117"/>
      <c r="G248" s="118"/>
      <c r="H248" s="121">
        <v>4</v>
      </c>
      <c r="I248" s="89">
        <v>2</v>
      </c>
      <c r="J248" s="121">
        <v>1</v>
      </c>
      <c r="K248" s="89">
        <v>1</v>
      </c>
      <c r="L248" s="121">
        <v>1</v>
      </c>
      <c r="M248" s="89"/>
      <c r="N248" s="134" t="s">
        <v>120</v>
      </c>
      <c r="O248" s="122"/>
      <c r="P248" s="125">
        <v>440740.89</v>
      </c>
      <c r="Q248" s="125">
        <f>1500+1200+1500+1600+3600+400+1200+3000+4000+1653.2+1655.75+408.38+441.05+14029.81+9554.76+31962.5+8500+485678.21+2200330.98+3816+2725.41+11899.8+8232+72473.41+91133.79+80465+11583.06+186703.78+3631.5+11916.8+80180+89775+99880.7+13276.25+8006.6+10335.05+860.21+182.25</f>
        <v>3559291.25</v>
      </c>
      <c r="R248" s="268"/>
      <c r="S248" s="269"/>
      <c r="T248" s="109"/>
    </row>
    <row r="249" spans="1:20" ht="17.25" thickBot="1" x14ac:dyDescent="0.3">
      <c r="A249" s="541" t="s">
        <v>95</v>
      </c>
      <c r="B249" s="542"/>
      <c r="C249" s="542"/>
      <c r="D249" s="542"/>
      <c r="E249" s="542"/>
      <c r="F249" s="542"/>
      <c r="G249" s="542"/>
      <c r="H249" s="542"/>
      <c r="I249" s="542"/>
      <c r="J249" s="542"/>
      <c r="K249" s="542"/>
      <c r="L249" s="542"/>
      <c r="M249" s="506"/>
      <c r="N249" s="506"/>
      <c r="O249" s="98"/>
      <c r="P249" s="99">
        <f>+P247</f>
        <v>440740.89</v>
      </c>
      <c r="Q249" s="235">
        <f>+Q247</f>
        <v>3559291.25</v>
      </c>
      <c r="R249" s="338">
        <f>+'VAR. CXP '!D27-'EJEC GTO  (3)'!Q247</f>
        <v>-639015.52</v>
      </c>
      <c r="S249" s="271"/>
      <c r="T249" s="109"/>
    </row>
    <row r="250" spans="1:20" ht="17.25" thickBot="1" x14ac:dyDescent="0.3">
      <c r="A250" s="541" t="s">
        <v>115</v>
      </c>
      <c r="B250" s="542"/>
      <c r="C250" s="542"/>
      <c r="D250" s="542"/>
      <c r="E250" s="542"/>
      <c r="F250" s="542"/>
      <c r="G250" s="542"/>
      <c r="H250" s="542"/>
      <c r="I250" s="542"/>
      <c r="J250" s="542"/>
      <c r="K250" s="542"/>
      <c r="L250" s="542"/>
      <c r="M250" s="100"/>
      <c r="N250" s="100"/>
      <c r="O250" s="103"/>
      <c r="P250" s="101">
        <f>+P249+P217</f>
        <v>10089843.68</v>
      </c>
      <c r="Q250" s="101">
        <f>+Q249+Q217</f>
        <v>11341849.629999999</v>
      </c>
      <c r="R250" s="339"/>
      <c r="S250" s="110"/>
    </row>
    <row r="251" spans="1:20" ht="16.5" x14ac:dyDescent="0.25">
      <c r="A251" s="497"/>
      <c r="B251" s="497"/>
      <c r="C251" s="497"/>
      <c r="D251" s="497"/>
      <c r="E251" s="497"/>
      <c r="F251" s="497"/>
      <c r="G251" s="497"/>
      <c r="H251" s="497"/>
      <c r="I251" s="497"/>
      <c r="J251" s="497"/>
      <c r="K251" s="497"/>
      <c r="L251" s="497"/>
      <c r="M251" s="497"/>
      <c r="N251" s="497"/>
      <c r="O251" s="96"/>
      <c r="P251" s="183"/>
      <c r="Q251" s="184"/>
      <c r="R251" s="340"/>
      <c r="S251" s="271"/>
      <c r="T251" s="109"/>
    </row>
    <row r="252" spans="1:20" ht="16.5" x14ac:dyDescent="0.25">
      <c r="A252" s="498"/>
      <c r="B252" s="498"/>
      <c r="C252" s="498"/>
      <c r="D252" s="498"/>
      <c r="E252" s="498"/>
      <c r="F252" s="225"/>
      <c r="G252" s="225"/>
      <c r="H252" s="225"/>
      <c r="I252" s="498"/>
      <c r="J252" s="498"/>
      <c r="K252" s="498"/>
      <c r="L252" s="498"/>
      <c r="M252" s="498"/>
      <c r="N252" s="498"/>
      <c r="O252" s="498"/>
      <c r="P252" s="336">
        <f>+'EJ. INGRESO'!G45-'EJEC GTO  (3)'!P250</f>
        <v>1852838.8399999999</v>
      </c>
      <c r="Q252" s="148">
        <f>+'relacion de gastos'!G29-'EJEC GTO  (3)'!Q250</f>
        <v>600832.89000000246</v>
      </c>
      <c r="R252" s="341">
        <f>+'VAR. CXP '!D27</f>
        <v>2920275.73</v>
      </c>
      <c r="S252" s="274">
        <v>1239848.4099999999</v>
      </c>
      <c r="T252" s="109"/>
    </row>
    <row r="253" spans="1:20" ht="16.5" x14ac:dyDescent="0.25">
      <c r="A253" s="498"/>
      <c r="B253" s="498"/>
      <c r="C253" s="498"/>
      <c r="D253" s="498"/>
      <c r="E253" s="498"/>
      <c r="F253" s="225"/>
      <c r="G253" s="225"/>
      <c r="H253" s="225"/>
      <c r="I253" s="498"/>
      <c r="J253" s="498"/>
      <c r="K253" s="498"/>
      <c r="L253" s="498"/>
      <c r="M253" s="498"/>
      <c r="N253" s="498"/>
      <c r="O253" s="337"/>
      <c r="P253" s="250"/>
      <c r="Q253" s="250"/>
      <c r="R253" s="274"/>
      <c r="S253" s="271"/>
      <c r="T253" s="109"/>
    </row>
    <row r="254" spans="1:20" ht="18" x14ac:dyDescent="0.35">
      <c r="A254" s="498"/>
      <c r="B254" s="498"/>
      <c r="C254" s="498"/>
      <c r="D254" s="498"/>
      <c r="E254" s="498"/>
      <c r="F254" s="225"/>
      <c r="G254" s="225"/>
      <c r="H254" s="225"/>
      <c r="I254" s="498"/>
      <c r="J254" s="498"/>
      <c r="K254" s="498"/>
      <c r="L254" s="498"/>
      <c r="M254" s="498"/>
      <c r="N254" s="498"/>
      <c r="O254" s="190"/>
      <c r="P254" s="158"/>
      <c r="Q254" s="237"/>
      <c r="R254" s="191"/>
      <c r="S254" s="190"/>
      <c r="T254" s="148"/>
    </row>
    <row r="255" spans="1:20" ht="18" x14ac:dyDescent="0.35">
      <c r="A255" s="498"/>
      <c r="B255" s="498"/>
      <c r="C255" s="498"/>
      <c r="D255" s="498"/>
      <c r="E255" s="498"/>
      <c r="F255" s="225"/>
      <c r="G255" s="225"/>
      <c r="H255" s="225"/>
      <c r="I255" s="498"/>
      <c r="J255" s="498"/>
      <c r="K255" s="498"/>
      <c r="L255" s="498"/>
      <c r="M255" s="498"/>
      <c r="N255" s="498"/>
      <c r="O255" s="190"/>
      <c r="P255" s="158">
        <v>22158.38</v>
      </c>
      <c r="Q255" s="237"/>
      <c r="R255" s="191"/>
      <c r="S255" s="109"/>
      <c r="T255" s="148"/>
    </row>
    <row r="256" spans="1:20" ht="16.5" x14ac:dyDescent="0.25">
      <c r="A256" s="222"/>
      <c r="B256" s="222"/>
      <c r="C256" s="222"/>
      <c r="D256" s="222"/>
      <c r="E256" s="222"/>
      <c r="F256" s="222"/>
      <c r="G256" s="222"/>
      <c r="H256" s="93"/>
      <c r="I256" s="85"/>
      <c r="J256" s="85"/>
      <c r="K256" s="85"/>
      <c r="L256" s="85"/>
      <c r="M256" s="85"/>
      <c r="N256" s="93"/>
      <c r="O256" s="93"/>
      <c r="P256" s="94"/>
      <c r="Q256" s="95"/>
      <c r="R256" s="44"/>
    </row>
    <row r="257" spans="1:20" ht="16.5" x14ac:dyDescent="0.25">
      <c r="A257" s="526" t="s">
        <v>97</v>
      </c>
      <c r="B257" s="526"/>
      <c r="C257" s="526"/>
      <c r="D257" s="526"/>
      <c r="E257" s="526"/>
      <c r="F257" s="526"/>
      <c r="G257" s="526"/>
      <c r="H257" s="526"/>
      <c r="I257" s="526"/>
      <c r="J257" s="85"/>
      <c r="K257" s="85"/>
      <c r="L257" s="85"/>
      <c r="M257" s="85"/>
      <c r="N257" s="497" t="s">
        <v>98</v>
      </c>
      <c r="O257" s="527" t="s">
        <v>99</v>
      </c>
      <c r="P257" s="527"/>
      <c r="Q257" s="527"/>
      <c r="R257" s="287">
        <v>27297.38</v>
      </c>
      <c r="S257" s="277" t="s">
        <v>121</v>
      </c>
      <c r="T257" s="271"/>
    </row>
    <row r="258" spans="1:20" ht="16.5" x14ac:dyDescent="0.25">
      <c r="A258" s="497"/>
      <c r="B258" s="497"/>
      <c r="C258" s="497"/>
      <c r="D258" s="497"/>
      <c r="E258" s="497"/>
      <c r="F258" s="497"/>
      <c r="G258" s="497"/>
      <c r="H258" s="497"/>
      <c r="I258" s="497"/>
      <c r="J258" s="497"/>
      <c r="K258" s="497"/>
      <c r="L258" s="497"/>
      <c r="M258" s="497"/>
      <c r="N258" s="497"/>
      <c r="O258" s="278"/>
      <c r="P258" s="279"/>
      <c r="Q258" s="279"/>
      <c r="R258" s="274">
        <v>352912.26</v>
      </c>
      <c r="S258" s="277" t="s">
        <v>122</v>
      </c>
      <c r="T258" s="269"/>
    </row>
    <row r="260" spans="1:20" ht="16.5" x14ac:dyDescent="0.25">
      <c r="A260" s="497"/>
      <c r="B260" s="497"/>
      <c r="C260" s="497"/>
      <c r="D260" s="497"/>
      <c r="E260" s="497"/>
      <c r="F260" s="497"/>
      <c r="G260" s="497"/>
      <c r="H260" s="497"/>
      <c r="I260" s="497"/>
      <c r="J260" s="497"/>
      <c r="K260" s="497"/>
      <c r="L260" s="497"/>
      <c r="M260" s="497"/>
      <c r="N260" s="497"/>
      <c r="O260" s="278"/>
      <c r="P260" s="279"/>
      <c r="Q260" s="279"/>
      <c r="R260" s="274"/>
      <c r="S260" s="269"/>
      <c r="T260" s="269"/>
    </row>
    <row r="261" spans="1:20" ht="16.5" x14ac:dyDescent="0.25">
      <c r="A261" s="498"/>
      <c r="B261" s="498"/>
      <c r="C261" s="498"/>
      <c r="D261" s="498"/>
      <c r="E261" s="498"/>
      <c r="F261" s="225"/>
      <c r="G261" s="225"/>
      <c r="H261" s="225"/>
      <c r="I261" s="498"/>
      <c r="J261" s="498"/>
      <c r="K261" s="498"/>
      <c r="L261" s="498"/>
      <c r="M261" s="498"/>
      <c r="N261" s="498"/>
      <c r="O261" s="508"/>
      <c r="P261" s="508"/>
      <c r="Q261" s="280"/>
      <c r="R261" s="284">
        <v>600509.66</v>
      </c>
      <c r="S261" s="281" t="s">
        <v>123</v>
      </c>
    </row>
    <row r="262" spans="1:20" ht="16.5" x14ac:dyDescent="0.25">
      <c r="A262" s="225"/>
      <c r="B262" s="225"/>
      <c r="C262" s="225"/>
      <c r="D262" s="225"/>
      <c r="E262" s="225"/>
      <c r="F262" s="225"/>
      <c r="G262" s="225"/>
      <c r="H262" s="225"/>
      <c r="I262" s="225"/>
      <c r="J262" s="225"/>
      <c r="K262" s="225"/>
      <c r="L262" s="225"/>
      <c r="M262" s="225"/>
      <c r="N262" s="225"/>
      <c r="O262" s="225"/>
      <c r="P262" s="233"/>
      <c r="Q262" s="225"/>
      <c r="R262" s="274">
        <v>1521633.14</v>
      </c>
      <c r="S262" s="281" t="s">
        <v>124</v>
      </c>
    </row>
    <row r="263" spans="1:20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285">
        <f>SUM(R261:R262)</f>
        <v>2122142.7999999998</v>
      </c>
      <c r="S263" s="282" t="s">
        <v>125</v>
      </c>
    </row>
    <row r="264" spans="1:20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286"/>
      <c r="S264" s="281"/>
    </row>
    <row r="265" spans="1:20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285">
        <f>+R259+R263</f>
        <v>2122142.7999999998</v>
      </c>
      <c r="S265" s="283" t="s">
        <v>126</v>
      </c>
      <c r="T265" s="283"/>
    </row>
    <row r="266" spans="1:20" x14ac:dyDescent="0.2">
      <c r="P266" s="47"/>
      <c r="Q266" s="47"/>
      <c r="R266" s="271"/>
    </row>
    <row r="267" spans="1:20" x14ac:dyDescent="0.2">
      <c r="Q267" s="47"/>
      <c r="R267" s="275">
        <v>42461</v>
      </c>
    </row>
    <row r="268" spans="1:20" x14ac:dyDescent="0.2">
      <c r="Q268" s="47"/>
      <c r="R268" s="31"/>
      <c r="T268" t="s">
        <v>127</v>
      </c>
    </row>
    <row r="269" spans="1:20" x14ac:dyDescent="0.2">
      <c r="Q269" s="44"/>
      <c r="R269" s="159">
        <f>+R259+R263</f>
        <v>2122142.7999999998</v>
      </c>
      <c r="S269" s="44">
        <f>+R269-Q250</f>
        <v>-9219706.8299999982</v>
      </c>
    </row>
    <row r="271" spans="1:20" x14ac:dyDescent="0.2">
      <c r="Q271" s="44"/>
    </row>
  </sheetData>
  <mergeCells count="71">
    <mergeCell ref="A1:Q1"/>
    <mergeCell ref="A2:Q2"/>
    <mergeCell ref="A9:L9"/>
    <mergeCell ref="O9:Q9"/>
    <mergeCell ref="A11:G11"/>
    <mergeCell ref="A14:G14"/>
    <mergeCell ref="A105:L105"/>
    <mergeCell ref="A12:A13"/>
    <mergeCell ref="C12:C13"/>
    <mergeCell ref="F12:F13"/>
    <mergeCell ref="G12:G13"/>
    <mergeCell ref="H12:H13"/>
    <mergeCell ref="O136:Q136"/>
    <mergeCell ref="I12:I13"/>
    <mergeCell ref="O12:O13"/>
    <mergeCell ref="P12:P13"/>
    <mergeCell ref="Q12:Q13"/>
    <mergeCell ref="A113:I113"/>
    <mergeCell ref="O113:Q113"/>
    <mergeCell ref="A117:E117"/>
    <mergeCell ref="A128:Q128"/>
    <mergeCell ref="A129:Q129"/>
    <mergeCell ref="A186:I186"/>
    <mergeCell ref="O186:Q186"/>
    <mergeCell ref="A138:G138"/>
    <mergeCell ref="A140:A141"/>
    <mergeCell ref="C140:C141"/>
    <mergeCell ref="F140:F141"/>
    <mergeCell ref="G140:G141"/>
    <mergeCell ref="H140:H141"/>
    <mergeCell ref="I140:I141"/>
    <mergeCell ref="O140:O141"/>
    <mergeCell ref="P140:P141"/>
    <mergeCell ref="Q140:Q141"/>
    <mergeCell ref="A177:L177"/>
    <mergeCell ref="A136:L136"/>
    <mergeCell ref="A217:L217"/>
    <mergeCell ref="A196:Q196"/>
    <mergeCell ref="A197:Q197"/>
    <mergeCell ref="A203:L203"/>
    <mergeCell ref="O203:Q203"/>
    <mergeCell ref="A204:G204"/>
    <mergeCell ref="A205:A206"/>
    <mergeCell ref="C205:C206"/>
    <mergeCell ref="F205:F206"/>
    <mergeCell ref="G205:G206"/>
    <mergeCell ref="H205:H206"/>
    <mergeCell ref="I205:I206"/>
    <mergeCell ref="O205:O206"/>
    <mergeCell ref="P205:P206"/>
    <mergeCell ref="Q205:Q206"/>
    <mergeCell ref="A216:L216"/>
    <mergeCell ref="A223:I223"/>
    <mergeCell ref="O223:Q223"/>
    <mergeCell ref="A229:Q229"/>
    <mergeCell ref="A230:Q230"/>
    <mergeCell ref="A236:L236"/>
    <mergeCell ref="O236:Q236"/>
    <mergeCell ref="A257:I257"/>
    <mergeCell ref="O257:Q257"/>
    <mergeCell ref="A237:G237"/>
    <mergeCell ref="A238:A239"/>
    <mergeCell ref="C238:C239"/>
    <mergeCell ref="F238:F239"/>
    <mergeCell ref="G238:G239"/>
    <mergeCell ref="H238:H239"/>
    <mergeCell ref="O238:O239"/>
    <mergeCell ref="P238:P239"/>
    <mergeCell ref="Q238:Q239"/>
    <mergeCell ref="A249:L249"/>
    <mergeCell ref="A250:L250"/>
  </mergeCells>
  <pageMargins left="0.70866141732283505" right="0.22" top="0.74803149606299202" bottom="0.74803149606299202" header="0.31496062992126" footer="0.31496062992126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view="pageBreakPreview" zoomScaleNormal="100" zoomScaleSheetLayoutView="100" workbookViewId="0">
      <selection activeCell="E30" sqref="E30"/>
    </sheetView>
  </sheetViews>
  <sheetFormatPr baseColWidth="10" defaultColWidth="9.140625" defaultRowHeight="12.75" x14ac:dyDescent="0.2"/>
  <cols>
    <col min="1" max="1" width="40.7109375" customWidth="1"/>
    <col min="2" max="2" width="14.140625" customWidth="1"/>
    <col min="3" max="3" width="14.5703125" customWidth="1"/>
    <col min="4" max="4" width="14.7109375" customWidth="1"/>
    <col min="5" max="5" width="14.5703125" customWidth="1"/>
    <col min="6" max="6" width="15.5703125" customWidth="1"/>
    <col min="7" max="7" width="15.7109375" customWidth="1"/>
    <col min="8" max="8" width="14.42578125" customWidth="1"/>
    <col min="9" max="256" width="11.42578125" customWidth="1"/>
  </cols>
  <sheetData>
    <row r="1" spans="1:8" ht="15" x14ac:dyDescent="0.25">
      <c r="A1" s="590" t="s">
        <v>128</v>
      </c>
      <c r="B1" s="590"/>
      <c r="C1" s="590"/>
      <c r="D1" s="590"/>
      <c r="E1" s="590"/>
      <c r="F1" s="590"/>
      <c r="G1" s="13"/>
      <c r="H1" s="13"/>
    </row>
    <row r="2" spans="1:8" ht="15" x14ac:dyDescent="0.25">
      <c r="A2" s="590" t="s">
        <v>129</v>
      </c>
      <c r="B2" s="590"/>
      <c r="C2" s="590"/>
      <c r="D2" s="590"/>
      <c r="E2" s="590"/>
      <c r="F2" s="590"/>
      <c r="G2" s="13"/>
      <c r="H2" s="13"/>
    </row>
    <row r="3" spans="1:8" ht="15" x14ac:dyDescent="0.25">
      <c r="A3" s="590" t="s">
        <v>130</v>
      </c>
      <c r="B3" s="590"/>
      <c r="C3" s="590"/>
      <c r="D3" s="590"/>
      <c r="E3" s="590"/>
      <c r="F3" s="590"/>
      <c r="G3" s="13"/>
      <c r="H3" s="13"/>
    </row>
    <row r="4" spans="1:8" ht="13.5" thickBot="1" x14ac:dyDescent="0.25">
      <c r="A4" s="342"/>
      <c r="B4" s="342"/>
      <c r="C4" s="342"/>
      <c r="D4" s="342"/>
      <c r="E4" s="342"/>
      <c r="F4" s="31"/>
      <c r="G4" s="13"/>
      <c r="H4" s="11"/>
    </row>
    <row r="5" spans="1:8" x14ac:dyDescent="0.2">
      <c r="A5" s="343" t="s">
        <v>131</v>
      </c>
      <c r="B5" s="343" t="s">
        <v>132</v>
      </c>
      <c r="C5" s="343" t="s">
        <v>133</v>
      </c>
      <c r="D5" s="344" t="s">
        <v>134</v>
      </c>
      <c r="E5" s="345" t="s">
        <v>135</v>
      </c>
      <c r="F5" s="346" t="s">
        <v>136</v>
      </c>
      <c r="G5" s="11"/>
      <c r="H5" s="11"/>
    </row>
    <row r="6" spans="1:8" x14ac:dyDescent="0.2">
      <c r="A6" s="347" t="s">
        <v>137</v>
      </c>
      <c r="B6" s="348"/>
      <c r="C6" s="349">
        <v>2550</v>
      </c>
      <c r="D6" s="349"/>
      <c r="E6" s="287"/>
      <c r="F6" s="350">
        <f>SUM(B6:E6)</f>
        <v>2550</v>
      </c>
      <c r="G6" s="43"/>
      <c r="H6" s="43"/>
    </row>
    <row r="7" spans="1:8" x14ac:dyDescent="0.2">
      <c r="A7" s="347" t="s">
        <v>138</v>
      </c>
      <c r="B7" s="348"/>
      <c r="C7" s="349">
        <v>11900</v>
      </c>
      <c r="D7" s="349"/>
      <c r="E7" s="287"/>
      <c r="F7" s="350">
        <f>SUM(B7:E7)</f>
        <v>11900</v>
      </c>
      <c r="G7" s="43"/>
      <c r="H7" s="43"/>
    </row>
    <row r="8" spans="1:8" x14ac:dyDescent="0.2">
      <c r="A8" s="347" t="s">
        <v>139</v>
      </c>
      <c r="B8" s="348"/>
      <c r="C8" s="349">
        <v>290950</v>
      </c>
      <c r="D8" s="349"/>
      <c r="E8" s="287"/>
      <c r="F8" s="350">
        <f>SUM(B8:E8)</f>
        <v>290950</v>
      </c>
      <c r="G8" s="43"/>
      <c r="H8" s="43"/>
    </row>
    <row r="9" spans="1:8" x14ac:dyDescent="0.2">
      <c r="A9" s="347" t="s">
        <v>140</v>
      </c>
      <c r="B9" s="348"/>
      <c r="C9" s="351"/>
      <c r="D9" s="351">
        <v>747354</v>
      </c>
      <c r="E9" s="348"/>
      <c r="F9" s="350">
        <f>SUM(B9:E9)</f>
        <v>747354</v>
      </c>
      <c r="G9" s="104"/>
      <c r="H9" s="11"/>
    </row>
    <row r="10" spans="1:8" x14ac:dyDescent="0.2">
      <c r="A10" s="347" t="s">
        <v>141</v>
      </c>
      <c r="B10" s="348"/>
      <c r="C10" s="351"/>
      <c r="D10" s="351"/>
      <c r="E10" s="348">
        <v>5265082</v>
      </c>
      <c r="F10" s="350">
        <f>SUM(D10:E10)</f>
        <v>5265082</v>
      </c>
      <c r="G10" s="104"/>
      <c r="H10" s="11"/>
    </row>
    <row r="11" spans="1:8" x14ac:dyDescent="0.2">
      <c r="A11" s="347" t="s">
        <v>142</v>
      </c>
      <c r="B11" s="348"/>
      <c r="C11" s="351"/>
      <c r="D11" s="351"/>
      <c r="E11" s="348">
        <v>6221.19</v>
      </c>
      <c r="F11" s="350">
        <f>SUM(D11:E11)</f>
        <v>6221.19</v>
      </c>
      <c r="G11" s="104"/>
      <c r="H11" s="11"/>
    </row>
    <row r="12" spans="1:8" x14ac:dyDescent="0.2">
      <c r="A12" s="347" t="s">
        <v>143</v>
      </c>
      <c r="B12" s="348"/>
      <c r="C12" s="349">
        <v>707725</v>
      </c>
      <c r="D12" s="349"/>
      <c r="E12" s="287"/>
      <c r="F12" s="350">
        <f t="shared" ref="F12:F30" si="0">SUM(B12:E12)</f>
        <v>707725</v>
      </c>
      <c r="G12" s="11"/>
      <c r="H12" s="11"/>
    </row>
    <row r="13" spans="1:8" x14ac:dyDescent="0.2">
      <c r="A13" s="347" t="s">
        <v>144</v>
      </c>
      <c r="B13" s="348"/>
      <c r="C13" s="349">
        <v>6555</v>
      </c>
      <c r="D13" s="349"/>
      <c r="E13" s="287"/>
      <c r="F13" s="350">
        <f t="shared" si="0"/>
        <v>6555</v>
      </c>
      <c r="G13" s="46"/>
      <c r="H13" s="46"/>
    </row>
    <row r="14" spans="1:8" ht="15" x14ac:dyDescent="0.25">
      <c r="A14" s="347" t="s">
        <v>145</v>
      </c>
      <c r="B14" s="348"/>
      <c r="C14" s="349">
        <v>128300</v>
      </c>
      <c r="D14" s="349"/>
      <c r="E14" s="287"/>
      <c r="F14" s="350">
        <f t="shared" si="0"/>
        <v>128300</v>
      </c>
      <c r="G14" s="17"/>
      <c r="H14" s="17"/>
    </row>
    <row r="15" spans="1:8" ht="15" x14ac:dyDescent="0.25">
      <c r="A15" s="347" t="s">
        <v>146</v>
      </c>
      <c r="B15" s="348"/>
      <c r="C15" s="349">
        <v>700</v>
      </c>
      <c r="D15" s="349"/>
      <c r="E15" s="287"/>
      <c r="F15" s="350">
        <f t="shared" si="0"/>
        <v>700</v>
      </c>
      <c r="G15" s="17"/>
      <c r="H15" s="17"/>
    </row>
    <row r="16" spans="1:8" ht="15" x14ac:dyDescent="0.25">
      <c r="A16" s="347" t="s">
        <v>147</v>
      </c>
      <c r="B16" s="348">
        <v>818</v>
      </c>
      <c r="C16" s="349"/>
      <c r="D16" s="349"/>
      <c r="E16" s="287"/>
      <c r="F16" s="350">
        <f t="shared" si="0"/>
        <v>818</v>
      </c>
      <c r="G16" s="17"/>
      <c r="H16" s="17"/>
    </row>
    <row r="17" spans="1:8" ht="15" x14ac:dyDescent="0.25">
      <c r="A17" s="347" t="s">
        <v>148</v>
      </c>
      <c r="B17" s="348"/>
      <c r="C17" s="349">
        <v>2000</v>
      </c>
      <c r="D17" s="349"/>
      <c r="E17" s="287"/>
      <c r="F17" s="350">
        <f t="shared" si="0"/>
        <v>2000</v>
      </c>
      <c r="G17" s="17"/>
      <c r="H17" s="17"/>
    </row>
    <row r="18" spans="1:8" ht="15" x14ac:dyDescent="0.25">
      <c r="A18" s="347" t="s">
        <v>149</v>
      </c>
      <c r="B18" s="348"/>
      <c r="C18" s="349">
        <v>100</v>
      </c>
      <c r="D18" s="349"/>
      <c r="E18" s="287"/>
      <c r="F18" s="350">
        <f t="shared" si="0"/>
        <v>100</v>
      </c>
      <c r="G18" s="17"/>
      <c r="H18" s="17"/>
    </row>
    <row r="19" spans="1:8" ht="15" x14ac:dyDescent="0.25">
      <c r="A19" s="347" t="s">
        <v>150</v>
      </c>
      <c r="B19" s="348"/>
      <c r="C19" s="349">
        <v>20900</v>
      </c>
      <c r="D19" s="349"/>
      <c r="E19" s="287"/>
      <c r="F19" s="350">
        <f t="shared" si="0"/>
        <v>20900</v>
      </c>
      <c r="G19" s="17"/>
      <c r="H19" s="17"/>
    </row>
    <row r="20" spans="1:8" ht="15" x14ac:dyDescent="0.25">
      <c r="A20" s="347" t="s">
        <v>151</v>
      </c>
      <c r="B20" s="348"/>
      <c r="C20" s="349">
        <v>5436</v>
      </c>
      <c r="D20" s="349"/>
      <c r="E20" s="287"/>
      <c r="F20" s="350">
        <f t="shared" si="0"/>
        <v>5436</v>
      </c>
      <c r="G20" s="17"/>
      <c r="H20" s="17"/>
    </row>
    <row r="21" spans="1:8" ht="15" x14ac:dyDescent="0.25">
      <c r="A21" s="347" t="s">
        <v>152</v>
      </c>
      <c r="B21" s="348"/>
      <c r="C21" s="349">
        <v>212</v>
      </c>
      <c r="D21" s="349"/>
      <c r="E21" s="287"/>
      <c r="F21" s="350">
        <f t="shared" si="0"/>
        <v>212</v>
      </c>
      <c r="G21" s="17"/>
      <c r="H21" s="17"/>
    </row>
    <row r="22" spans="1:8" ht="15" x14ac:dyDescent="0.25">
      <c r="A22" s="347" t="s">
        <v>153</v>
      </c>
      <c r="B22" s="348"/>
      <c r="C22" s="349">
        <v>48550</v>
      </c>
      <c r="D22" s="349"/>
      <c r="E22" s="287"/>
      <c r="F22" s="350">
        <f t="shared" si="0"/>
        <v>48550</v>
      </c>
      <c r="G22" s="17"/>
      <c r="H22" s="17"/>
    </row>
    <row r="23" spans="1:8" ht="15" x14ac:dyDescent="0.25">
      <c r="A23" s="347" t="s">
        <v>154</v>
      </c>
      <c r="B23" s="348"/>
      <c r="C23" s="349">
        <v>250</v>
      </c>
      <c r="D23" s="349"/>
      <c r="E23" s="287"/>
      <c r="F23" s="350">
        <f t="shared" si="0"/>
        <v>250</v>
      </c>
      <c r="G23" s="17"/>
      <c r="H23" s="17"/>
    </row>
    <row r="24" spans="1:8" ht="15" x14ac:dyDescent="0.25">
      <c r="A24" s="347" t="s">
        <v>155</v>
      </c>
      <c r="B24" s="348">
        <v>34000</v>
      </c>
      <c r="C24" s="351"/>
      <c r="D24" s="351"/>
      <c r="E24" s="348"/>
      <c r="F24" s="350">
        <f t="shared" si="0"/>
        <v>34000</v>
      </c>
      <c r="G24" s="17"/>
      <c r="H24" s="17"/>
    </row>
    <row r="25" spans="1:8" ht="15" x14ac:dyDescent="0.25">
      <c r="A25" s="347" t="s">
        <v>156</v>
      </c>
      <c r="B25" s="348"/>
      <c r="C25" s="351">
        <v>292170</v>
      </c>
      <c r="D25" s="351"/>
      <c r="E25" s="348"/>
      <c r="F25" s="350">
        <f t="shared" si="0"/>
        <v>292170</v>
      </c>
      <c r="G25" s="17"/>
      <c r="H25" s="17"/>
    </row>
    <row r="26" spans="1:8" ht="14.25" x14ac:dyDescent="0.2">
      <c r="A26" s="347" t="s">
        <v>157</v>
      </c>
      <c r="B26" s="348"/>
      <c r="C26" s="349">
        <v>10100</v>
      </c>
      <c r="D26" s="349"/>
      <c r="E26" s="287"/>
      <c r="F26" s="350">
        <f t="shared" si="0"/>
        <v>10100</v>
      </c>
      <c r="G26" s="14"/>
      <c r="H26" s="14"/>
    </row>
    <row r="27" spans="1:8" ht="14.25" x14ac:dyDescent="0.2">
      <c r="A27" s="347" t="s">
        <v>158</v>
      </c>
      <c r="B27" s="348"/>
      <c r="C27" s="349">
        <v>6605</v>
      </c>
      <c r="D27" s="349"/>
      <c r="E27" s="287"/>
      <c r="F27" s="350">
        <f>SUM(B27:E27)</f>
        <v>6605</v>
      </c>
      <c r="G27" s="14"/>
      <c r="H27" s="14"/>
    </row>
    <row r="28" spans="1:8" ht="14.25" x14ac:dyDescent="0.2">
      <c r="A28" s="347" t="s">
        <v>159</v>
      </c>
      <c r="B28" s="348"/>
      <c r="C28" s="349">
        <v>91220</v>
      </c>
      <c r="D28" s="349"/>
      <c r="E28" s="287"/>
      <c r="F28" s="350">
        <f t="shared" si="0"/>
        <v>91220</v>
      </c>
      <c r="G28" s="14"/>
      <c r="H28" s="14"/>
    </row>
    <row r="29" spans="1:8" ht="14.25" x14ac:dyDescent="0.2">
      <c r="A29" s="347" t="s">
        <v>160</v>
      </c>
      <c r="B29" s="348"/>
      <c r="C29" s="349">
        <v>300</v>
      </c>
      <c r="D29" s="349"/>
      <c r="E29" s="287"/>
      <c r="F29" s="350">
        <f t="shared" si="0"/>
        <v>300</v>
      </c>
      <c r="G29" s="14"/>
      <c r="H29" s="14"/>
    </row>
    <row r="30" spans="1:8" ht="15" thickBot="1" x14ac:dyDescent="0.25">
      <c r="A30" s="347" t="s">
        <v>161</v>
      </c>
      <c r="B30" s="348"/>
      <c r="C30" s="349">
        <v>4095</v>
      </c>
      <c r="D30" s="349"/>
      <c r="E30" s="287"/>
      <c r="F30" s="350">
        <f t="shared" si="0"/>
        <v>4095</v>
      </c>
      <c r="G30" s="14"/>
      <c r="H30" s="14"/>
    </row>
    <row r="31" spans="1:8" ht="15" thickBot="1" x14ac:dyDescent="0.25">
      <c r="A31" s="352" t="s">
        <v>162</v>
      </c>
      <c r="B31" s="353">
        <f>SUM(B6:B30)</f>
        <v>34818</v>
      </c>
      <c r="C31" s="354">
        <f>SUM(C6:C30)</f>
        <v>1630618</v>
      </c>
      <c r="D31" s="354">
        <f>SUM(D6:D30)</f>
        <v>747354</v>
      </c>
      <c r="E31" s="353">
        <f>SUM(E7:E30)</f>
        <v>5271303.1900000004</v>
      </c>
      <c r="F31" s="355">
        <f>SUM(F6:F30)</f>
        <v>7684093.1900000004</v>
      </c>
      <c r="G31" s="14"/>
      <c r="H31" s="14"/>
    </row>
    <row r="32" spans="1:8" ht="14.25" x14ac:dyDescent="0.2">
      <c r="A32" s="347" t="s">
        <v>163</v>
      </c>
      <c r="B32" s="356"/>
      <c r="C32" s="349">
        <v>351240</v>
      </c>
      <c r="D32" s="357"/>
      <c r="E32" s="356"/>
      <c r="F32" s="350">
        <f>SUM(B32:E32)</f>
        <v>351240</v>
      </c>
      <c r="G32" s="14"/>
      <c r="H32" s="14"/>
    </row>
    <row r="33" spans="1:8" ht="14.25" x14ac:dyDescent="0.2">
      <c r="A33" s="358" t="s">
        <v>164</v>
      </c>
      <c r="B33" s="356"/>
      <c r="C33" s="349">
        <v>10000</v>
      </c>
      <c r="D33" s="357"/>
      <c r="E33" s="356"/>
      <c r="F33" s="350">
        <f>SUM(C33:E33)</f>
        <v>10000</v>
      </c>
      <c r="G33" s="14"/>
      <c r="H33" s="14"/>
    </row>
    <row r="34" spans="1:8" ht="14.25" x14ac:dyDescent="0.2">
      <c r="A34" s="358" t="s">
        <v>165</v>
      </c>
      <c r="B34" s="356"/>
      <c r="C34" s="349">
        <v>80465</v>
      </c>
      <c r="D34" s="357"/>
      <c r="E34" s="356"/>
      <c r="F34" s="350">
        <f>SUM(C34:E34)</f>
        <v>80465</v>
      </c>
      <c r="G34" s="14"/>
      <c r="H34" s="14"/>
    </row>
    <row r="35" spans="1:8" ht="14.25" x14ac:dyDescent="0.2">
      <c r="A35" s="358" t="s">
        <v>166</v>
      </c>
      <c r="B35" s="287">
        <v>3222.71</v>
      </c>
      <c r="C35" s="349"/>
      <c r="D35" s="349"/>
      <c r="E35" s="287"/>
      <c r="F35" s="350">
        <f>SUM(B35:E35)</f>
        <v>3222.71</v>
      </c>
      <c r="G35" s="14"/>
      <c r="H35" s="14"/>
    </row>
    <row r="36" spans="1:8" ht="14.25" x14ac:dyDescent="0.2">
      <c r="A36" s="358" t="s">
        <v>167</v>
      </c>
      <c r="B36" s="287">
        <v>2200330.98</v>
      </c>
      <c r="C36" s="349"/>
      <c r="D36" s="349"/>
      <c r="E36" s="287"/>
      <c r="F36" s="350">
        <f>SUM(B36:E36)</f>
        <v>2200330.98</v>
      </c>
      <c r="G36" s="14"/>
      <c r="H36" s="14"/>
    </row>
    <row r="37" spans="1:8" ht="15" thickBot="1" x14ac:dyDescent="0.25">
      <c r="A37" s="359" t="s">
        <v>168</v>
      </c>
      <c r="B37" s="287">
        <v>485678.21</v>
      </c>
      <c r="C37" s="360"/>
      <c r="D37" s="349"/>
      <c r="E37" s="287"/>
      <c r="F37" s="350">
        <f>SUM(B37:E37)</f>
        <v>485678.21</v>
      </c>
      <c r="G37" s="14"/>
      <c r="H37" s="14"/>
    </row>
    <row r="38" spans="1:8" ht="15.75" thickBot="1" x14ac:dyDescent="0.3">
      <c r="A38" s="361" t="s">
        <v>169</v>
      </c>
      <c r="B38" s="362">
        <f>SUM(B31:B37)</f>
        <v>2724049.9</v>
      </c>
      <c r="C38" s="355">
        <f>SUM(C31:C37)</f>
        <v>2072323</v>
      </c>
      <c r="D38" s="355">
        <f>SUM(D31:D37)</f>
        <v>747354</v>
      </c>
      <c r="E38" s="362">
        <f>SUM(E31:E37)</f>
        <v>5271303.1900000004</v>
      </c>
      <c r="F38" s="355">
        <f>SUM(F31:F37)</f>
        <v>10815030.090000002</v>
      </c>
      <c r="G38" s="18"/>
      <c r="H38" s="18"/>
    </row>
    <row r="39" spans="1:8" ht="14.25" x14ac:dyDescent="0.2">
      <c r="A39" s="34"/>
      <c r="B39" s="363"/>
      <c r="C39" s="34"/>
      <c r="D39" s="34"/>
      <c r="E39" s="34"/>
      <c r="F39" s="364"/>
      <c r="G39" s="10"/>
      <c r="H39" s="10"/>
    </row>
    <row r="40" spans="1:8" ht="14.25" x14ac:dyDescent="0.2">
      <c r="A40" s="510"/>
      <c r="B40" s="510"/>
      <c r="C40" s="510"/>
      <c r="D40" s="510"/>
      <c r="E40" s="510"/>
      <c r="F40" s="15"/>
      <c r="G40" s="10"/>
      <c r="H40" s="10"/>
    </row>
    <row r="41" spans="1:8" ht="15" x14ac:dyDescent="0.25">
      <c r="A41" s="510"/>
      <c r="B41" s="510"/>
      <c r="C41" s="510"/>
      <c r="D41" s="510"/>
      <c r="E41" s="510"/>
      <c r="F41" s="15">
        <f>+'EJ. INGRESO'!G39-'relacion ingresos'!F38</f>
        <v>0</v>
      </c>
      <c r="G41" s="18"/>
      <c r="H41" s="18"/>
    </row>
    <row r="42" spans="1:8" ht="15" x14ac:dyDescent="0.25">
      <c r="A42" s="510"/>
      <c r="B42" s="510"/>
      <c r="C42" s="510"/>
      <c r="D42" s="510"/>
      <c r="E42" s="510"/>
      <c r="F42" s="17"/>
      <c r="G42" s="18"/>
      <c r="H42" s="18"/>
    </row>
    <row r="43" spans="1:8" ht="15" x14ac:dyDescent="0.25">
      <c r="A43" s="510"/>
      <c r="B43" s="510"/>
      <c r="C43" s="510"/>
      <c r="D43" s="510"/>
      <c r="E43" s="510"/>
      <c r="F43" s="17"/>
      <c r="G43" s="10"/>
      <c r="H43" s="10"/>
    </row>
    <row r="44" spans="1:8" ht="15" x14ac:dyDescent="0.25">
      <c r="A44" s="510"/>
      <c r="B44" s="510"/>
      <c r="C44" s="510"/>
      <c r="D44" s="510"/>
      <c r="E44" s="510"/>
      <c r="F44" s="17"/>
      <c r="G44" s="18"/>
      <c r="H44" s="18"/>
    </row>
    <row r="45" spans="1:8" ht="15" x14ac:dyDescent="0.25">
      <c r="A45" s="510"/>
      <c r="B45" s="510"/>
      <c r="C45" s="510"/>
      <c r="D45" s="510"/>
      <c r="E45" s="510"/>
      <c r="F45" s="17"/>
      <c r="G45" s="10"/>
      <c r="H45" s="10"/>
    </row>
    <row r="46" spans="1:8" ht="15" x14ac:dyDescent="0.25">
      <c r="A46" s="510"/>
      <c r="B46" s="510"/>
      <c r="C46" s="510"/>
      <c r="D46" s="510"/>
      <c r="E46" s="510"/>
      <c r="F46" s="15"/>
      <c r="G46" s="18"/>
      <c r="H46" s="18"/>
    </row>
    <row r="47" spans="1:8" ht="14.25" x14ac:dyDescent="0.2">
      <c r="A47" s="510"/>
      <c r="B47" s="510"/>
      <c r="C47" s="510"/>
      <c r="D47" s="510"/>
      <c r="E47" s="510"/>
      <c r="F47" s="15"/>
      <c r="G47" s="10"/>
      <c r="H47" s="10"/>
    </row>
    <row r="48" spans="1:8" ht="14.25" x14ac:dyDescent="0.2">
      <c r="A48" s="510"/>
      <c r="B48" s="510"/>
      <c r="C48" s="510"/>
      <c r="D48" s="510"/>
      <c r="E48" s="510"/>
      <c r="F48" s="15"/>
      <c r="G48" s="10"/>
      <c r="H48" s="10"/>
    </row>
    <row r="49" spans="1:9" ht="14.25" x14ac:dyDescent="0.2">
      <c r="A49" s="510"/>
      <c r="B49" s="510"/>
      <c r="C49" s="510"/>
      <c r="D49" s="510"/>
      <c r="E49" s="510"/>
      <c r="F49" s="15"/>
      <c r="G49" s="10"/>
      <c r="H49" s="10"/>
    </row>
    <row r="50" spans="1:9" ht="15" x14ac:dyDescent="0.25">
      <c r="A50" s="510"/>
      <c r="B50" s="510"/>
      <c r="C50" s="510"/>
      <c r="D50" s="510"/>
      <c r="E50" s="510"/>
      <c r="F50" s="17"/>
      <c r="G50" s="18"/>
      <c r="H50" s="18"/>
    </row>
    <row r="51" spans="1:9" ht="15" x14ac:dyDescent="0.25">
      <c r="A51" s="510"/>
      <c r="B51" s="510"/>
      <c r="C51" s="510"/>
      <c r="D51" s="510"/>
      <c r="E51" s="510"/>
      <c r="F51" s="17"/>
      <c r="G51" s="18"/>
      <c r="H51" s="18"/>
    </row>
    <row r="52" spans="1:9" ht="14.25" x14ac:dyDescent="0.2">
      <c r="A52" s="510"/>
      <c r="B52" s="510"/>
      <c r="C52" s="510"/>
      <c r="D52" s="510"/>
      <c r="E52" s="510"/>
      <c r="F52" s="14"/>
      <c r="G52" s="10"/>
      <c r="H52" s="10"/>
    </row>
    <row r="53" spans="1:9" ht="15" x14ac:dyDescent="0.25">
      <c r="A53" s="591"/>
      <c r="B53" s="591"/>
      <c r="C53" s="591"/>
      <c r="D53" s="591"/>
      <c r="E53" s="591"/>
      <c r="F53" s="11"/>
      <c r="G53" s="18"/>
      <c r="H53" s="18"/>
    </row>
    <row r="54" spans="1:9" ht="15" x14ac:dyDescent="0.25">
      <c r="A54" s="591"/>
      <c r="B54" s="591"/>
      <c r="C54" s="591"/>
      <c r="D54" s="591"/>
      <c r="E54" s="591"/>
      <c r="F54" s="18"/>
      <c r="G54" s="18"/>
      <c r="H54" s="18"/>
    </row>
    <row r="55" spans="1:9" ht="15" x14ac:dyDescent="0.25">
      <c r="A55" s="509"/>
      <c r="B55" s="509"/>
      <c r="C55" s="509"/>
      <c r="D55" s="509"/>
      <c r="E55" s="509"/>
      <c r="F55" s="18"/>
      <c r="G55" s="18"/>
      <c r="H55" s="18"/>
    </row>
    <row r="56" spans="1:9" ht="14.25" x14ac:dyDescent="0.2">
      <c r="A56" s="594"/>
      <c r="B56" s="594"/>
      <c r="C56" s="594"/>
      <c r="D56" s="594"/>
      <c r="E56" s="594"/>
      <c r="F56" s="594"/>
      <c r="G56" s="594"/>
      <c r="H56" s="594"/>
    </row>
    <row r="57" spans="1:9" ht="15" customHeight="1" x14ac:dyDescent="0.2">
      <c r="A57" s="593"/>
      <c r="B57" s="593"/>
      <c r="C57" s="593"/>
      <c r="D57" s="593"/>
      <c r="E57" s="593"/>
      <c r="F57" s="593"/>
      <c r="G57" s="593"/>
      <c r="H57" s="593"/>
    </row>
    <row r="58" spans="1:9" ht="14.25" customHeight="1" x14ac:dyDescent="0.25">
      <c r="A58" s="591"/>
      <c r="B58" s="591"/>
      <c r="C58" s="591"/>
      <c r="D58" s="591"/>
      <c r="E58" s="591"/>
      <c r="F58" s="14"/>
      <c r="G58" s="10"/>
      <c r="H58" s="10"/>
    </row>
    <row r="59" spans="1:9" x14ac:dyDescent="0.2">
      <c r="A59" s="11"/>
      <c r="B59" s="11"/>
      <c r="C59" s="11"/>
      <c r="D59" s="11"/>
      <c r="E59" s="11"/>
      <c r="F59" s="11"/>
      <c r="G59" s="11"/>
      <c r="H59" s="11"/>
    </row>
    <row r="60" spans="1:9" ht="14.25" x14ac:dyDescent="0.2">
      <c r="A60" s="510"/>
      <c r="B60" s="510"/>
      <c r="C60" s="510"/>
      <c r="D60" s="510"/>
      <c r="E60" s="510"/>
      <c r="F60" s="14"/>
      <c r="G60" s="10"/>
      <c r="H60" s="10"/>
      <c r="I60" s="11"/>
    </row>
    <row r="61" spans="1:9" ht="14.25" x14ac:dyDescent="0.2">
      <c r="A61" s="594"/>
      <c r="B61" s="594"/>
      <c r="C61" s="594"/>
      <c r="D61" s="594"/>
      <c r="E61" s="594"/>
      <c r="F61" s="594"/>
      <c r="G61" s="594"/>
      <c r="H61" s="594"/>
      <c r="I61" s="11"/>
    </row>
    <row r="62" spans="1:9" ht="15" x14ac:dyDescent="0.25">
      <c r="A62" s="591"/>
      <c r="B62" s="591"/>
      <c r="C62" s="591"/>
      <c r="D62" s="591"/>
      <c r="E62" s="591"/>
      <c r="F62" s="591"/>
      <c r="G62" s="591"/>
      <c r="H62" s="591"/>
      <c r="I62" s="11"/>
    </row>
    <row r="63" spans="1:9" x14ac:dyDescent="0.2">
      <c r="A63" s="592"/>
      <c r="B63" s="592"/>
      <c r="C63" s="592"/>
      <c r="D63" s="592"/>
      <c r="E63" s="592"/>
      <c r="F63" s="592"/>
      <c r="G63" s="592"/>
      <c r="H63" s="592"/>
      <c r="I63" s="11"/>
    </row>
    <row r="64" spans="1:9" x14ac:dyDescent="0.2">
      <c r="A64" s="593"/>
      <c r="B64" s="593"/>
      <c r="C64" s="593"/>
      <c r="D64" s="593"/>
      <c r="E64" s="593"/>
      <c r="F64" s="593"/>
      <c r="G64" s="593"/>
      <c r="H64" s="593"/>
      <c r="I64" s="11"/>
    </row>
    <row r="65" spans="1:9" x14ac:dyDescent="0.2">
      <c r="A65" s="11"/>
      <c r="B65" s="11"/>
      <c r="C65" s="11"/>
      <c r="D65" s="11"/>
      <c r="E65" s="11"/>
      <c r="F65" s="11"/>
      <c r="G65" s="11"/>
      <c r="H65" s="514"/>
      <c r="I65" s="11"/>
    </row>
    <row r="66" spans="1:9" x14ac:dyDescent="0.2">
      <c r="A66" s="13"/>
      <c r="B66" s="11"/>
      <c r="C66" s="11"/>
      <c r="D66" s="11"/>
      <c r="E66" s="11"/>
      <c r="F66" s="12"/>
      <c r="G66" s="12"/>
      <c r="H66" s="12"/>
      <c r="I66" s="11"/>
    </row>
    <row r="67" spans="1:9" x14ac:dyDescent="0.2">
      <c r="A67" s="13"/>
      <c r="B67" s="11"/>
      <c r="C67" s="11"/>
      <c r="D67" s="11"/>
      <c r="E67" s="11"/>
      <c r="F67" s="13"/>
      <c r="G67" s="13"/>
      <c r="H67" s="13"/>
      <c r="I67" s="11"/>
    </row>
    <row r="68" spans="1:9" x14ac:dyDescent="0.2">
      <c r="A68" s="13"/>
      <c r="B68" s="4"/>
      <c r="C68" s="4"/>
      <c r="D68" s="4"/>
      <c r="E68" s="4"/>
      <c r="F68" s="13"/>
      <c r="G68" s="13"/>
      <c r="H68" s="13"/>
      <c r="I68" s="11"/>
    </row>
    <row r="69" spans="1:9" x14ac:dyDescent="0.2">
      <c r="A69" s="13"/>
      <c r="B69" s="4"/>
      <c r="C69" s="4"/>
      <c r="D69" s="4"/>
      <c r="E69" s="4"/>
      <c r="F69" s="13"/>
      <c r="G69" s="13"/>
      <c r="H69" s="13"/>
      <c r="I69" s="11"/>
    </row>
    <row r="70" spans="1:9" x14ac:dyDescent="0.2">
      <c r="A70" s="11"/>
      <c r="B70" s="11"/>
      <c r="C70" s="11"/>
      <c r="D70" s="11"/>
      <c r="E70" s="11"/>
      <c r="F70" s="11"/>
      <c r="G70" s="13"/>
      <c r="H70" s="11"/>
      <c r="I70" s="11"/>
    </row>
    <row r="71" spans="1:9" x14ac:dyDescent="0.2">
      <c r="A71" s="595"/>
      <c r="B71" s="595"/>
      <c r="C71" s="595"/>
      <c r="D71" s="595"/>
      <c r="E71" s="595"/>
      <c r="F71" s="593"/>
      <c r="G71" s="593"/>
      <c r="H71" s="593"/>
      <c r="I71" s="11"/>
    </row>
    <row r="72" spans="1:9" x14ac:dyDescent="0.2">
      <c r="A72" s="588"/>
      <c r="B72" s="588"/>
      <c r="C72" s="588"/>
      <c r="D72" s="588"/>
      <c r="E72" s="588"/>
      <c r="F72" s="16"/>
      <c r="G72" s="16"/>
      <c r="H72" s="16"/>
      <c r="I72" s="11"/>
    </row>
    <row r="73" spans="1:9" x14ac:dyDescent="0.2">
      <c r="A73" s="589"/>
      <c r="B73" s="512"/>
      <c r="C73" s="512"/>
      <c r="D73" s="512"/>
      <c r="E73" s="512"/>
      <c r="F73" s="588"/>
      <c r="G73" s="588"/>
      <c r="H73" s="588"/>
      <c r="I73" s="11"/>
    </row>
    <row r="74" spans="1:9" x14ac:dyDescent="0.2">
      <c r="A74" s="589"/>
      <c r="B74" s="512"/>
      <c r="C74" s="512"/>
      <c r="D74" s="512"/>
      <c r="E74" s="512"/>
      <c r="F74" s="588"/>
      <c r="G74" s="588"/>
      <c r="H74" s="588"/>
      <c r="I74" s="11"/>
    </row>
    <row r="75" spans="1:9" ht="14.25" x14ac:dyDescent="0.2">
      <c r="A75" s="510"/>
      <c r="B75" s="510"/>
      <c r="C75" s="510"/>
      <c r="D75" s="510"/>
      <c r="E75" s="510"/>
      <c r="F75" s="14"/>
      <c r="G75" s="10"/>
      <c r="H75" s="10"/>
      <c r="I75" s="11"/>
    </row>
    <row r="76" spans="1:9" ht="14.25" x14ac:dyDescent="0.2">
      <c r="A76" s="32"/>
      <c r="B76" s="32"/>
      <c r="C76" s="32"/>
      <c r="D76" s="32"/>
      <c r="E76" s="32"/>
      <c r="F76" s="14"/>
      <c r="G76" s="10"/>
      <c r="H76" s="10"/>
      <c r="I76" s="11"/>
    </row>
    <row r="77" spans="1:9" ht="14.25" x14ac:dyDescent="0.2">
      <c r="A77" s="510"/>
      <c r="B77" s="510"/>
      <c r="C77" s="510"/>
      <c r="D77" s="510"/>
      <c r="E77" s="510"/>
      <c r="F77" s="14"/>
      <c r="G77" s="10"/>
      <c r="H77" s="10"/>
      <c r="I77" s="11"/>
    </row>
    <row r="78" spans="1:9" ht="15" x14ac:dyDescent="0.25">
      <c r="A78" s="510"/>
      <c r="B78" s="510"/>
      <c r="C78" s="510"/>
      <c r="D78" s="510"/>
      <c r="E78" s="510"/>
      <c r="F78" s="14"/>
      <c r="G78" s="18"/>
      <c r="H78" s="18"/>
      <c r="I78" s="11"/>
    </row>
    <row r="79" spans="1:9" ht="14.25" x14ac:dyDescent="0.2">
      <c r="A79" s="510"/>
      <c r="B79" s="510"/>
      <c r="C79" s="510"/>
      <c r="D79" s="510"/>
      <c r="E79" s="510"/>
      <c r="F79" s="14"/>
      <c r="G79" s="10"/>
      <c r="H79" s="10"/>
      <c r="I79" s="11"/>
    </row>
    <row r="80" spans="1:9" ht="14.25" x14ac:dyDescent="0.2">
      <c r="A80" s="510"/>
      <c r="B80" s="510"/>
      <c r="C80" s="510"/>
      <c r="D80" s="510"/>
      <c r="E80" s="510"/>
      <c r="F80" s="14"/>
      <c r="G80" s="10"/>
      <c r="H80" s="10"/>
      <c r="I80" s="11"/>
    </row>
    <row r="81" spans="1:9" ht="14.25" x14ac:dyDescent="0.2">
      <c r="A81" s="510"/>
      <c r="B81" s="510"/>
      <c r="C81" s="510"/>
      <c r="D81" s="510"/>
      <c r="E81" s="510"/>
      <c r="F81" s="14"/>
      <c r="G81" s="10"/>
      <c r="H81" s="10"/>
      <c r="I81" s="11"/>
    </row>
    <row r="82" spans="1:9" ht="0.75" customHeight="1" x14ac:dyDescent="0.2">
      <c r="A82" s="510"/>
      <c r="B82" s="510"/>
      <c r="C82" s="510"/>
      <c r="D82" s="510"/>
      <c r="E82" s="510"/>
      <c r="F82" s="14"/>
      <c r="G82" s="10"/>
      <c r="H82" s="10"/>
      <c r="I82" s="11"/>
    </row>
    <row r="83" spans="1:9" ht="15" hidden="1" x14ac:dyDescent="0.25">
      <c r="A83" s="510"/>
      <c r="B83" s="510"/>
      <c r="C83" s="510"/>
      <c r="D83" s="510"/>
      <c r="E83" s="510"/>
      <c r="F83" s="14"/>
      <c r="G83" s="18"/>
      <c r="H83" s="10"/>
      <c r="I83" s="11"/>
    </row>
    <row r="84" spans="1:9" ht="14.25" hidden="1" x14ac:dyDescent="0.2">
      <c r="A84" s="510"/>
      <c r="B84" s="510"/>
      <c r="C84" s="510"/>
      <c r="D84" s="510"/>
      <c r="E84" s="510"/>
      <c r="F84" s="14"/>
      <c r="G84" s="10"/>
      <c r="H84" s="10"/>
      <c r="I84" s="11"/>
    </row>
    <row r="85" spans="1:9" ht="14.25" hidden="1" x14ac:dyDescent="0.2">
      <c r="A85" s="510"/>
      <c r="B85" s="510"/>
      <c r="C85" s="510"/>
      <c r="D85" s="510"/>
      <c r="E85" s="510"/>
      <c r="F85" s="14"/>
      <c r="G85" s="10"/>
      <c r="H85" s="10"/>
      <c r="I85" s="11"/>
    </row>
    <row r="86" spans="1:9" ht="14.25" hidden="1" x14ac:dyDescent="0.2">
      <c r="A86" s="510"/>
      <c r="B86" s="510"/>
      <c r="C86" s="510"/>
      <c r="D86" s="510"/>
      <c r="E86" s="510"/>
      <c r="F86" s="14"/>
      <c r="G86" s="10"/>
      <c r="H86" s="10"/>
      <c r="I86" s="11"/>
    </row>
    <row r="87" spans="1:9" ht="15" hidden="1" x14ac:dyDescent="0.25">
      <c r="A87" s="510"/>
      <c r="B87" s="510"/>
      <c r="C87" s="510"/>
      <c r="D87" s="510"/>
      <c r="E87" s="510"/>
      <c r="F87" s="14"/>
      <c r="G87" s="18"/>
      <c r="H87" s="18"/>
      <c r="I87" s="11"/>
    </row>
    <row r="88" spans="1:9" ht="14.25" hidden="1" x14ac:dyDescent="0.2">
      <c r="A88" s="510"/>
      <c r="B88" s="510"/>
      <c r="C88" s="510"/>
      <c r="D88" s="510"/>
      <c r="E88" s="510"/>
      <c r="F88" s="14"/>
      <c r="G88" s="10"/>
      <c r="H88" s="11"/>
      <c r="I88" s="11"/>
    </row>
    <row r="89" spans="1:9" ht="14.25" hidden="1" x14ac:dyDescent="0.2">
      <c r="A89" s="510"/>
      <c r="B89" s="510"/>
      <c r="C89" s="510"/>
      <c r="D89" s="510"/>
      <c r="E89" s="510"/>
      <c r="F89" s="14"/>
      <c r="G89" s="10"/>
      <c r="H89" s="10"/>
      <c r="I89" s="11"/>
    </row>
    <row r="90" spans="1:9" ht="14.25" x14ac:dyDescent="0.2">
      <c r="A90" s="510"/>
      <c r="B90" s="510"/>
      <c r="C90" s="510"/>
      <c r="D90" s="510"/>
      <c r="E90" s="510"/>
      <c r="F90" s="14"/>
      <c r="G90" s="10"/>
      <c r="H90" s="10"/>
      <c r="I90" s="11"/>
    </row>
    <row r="91" spans="1:9" ht="14.25" x14ac:dyDescent="0.2">
      <c r="A91" s="510"/>
      <c r="B91" s="510"/>
      <c r="C91" s="510"/>
      <c r="D91" s="510"/>
      <c r="E91" s="510"/>
      <c r="F91" s="15"/>
      <c r="G91" s="10"/>
      <c r="H91" s="10"/>
      <c r="I91" s="11"/>
    </row>
    <row r="92" spans="1:9" ht="14.25" x14ac:dyDescent="0.2">
      <c r="A92" s="510"/>
      <c r="B92" s="510"/>
      <c r="C92" s="510"/>
      <c r="D92" s="510"/>
      <c r="E92" s="510"/>
      <c r="F92" s="15"/>
      <c r="G92" s="10"/>
      <c r="H92" s="10"/>
      <c r="I92" s="11"/>
    </row>
    <row r="93" spans="1:9" x14ac:dyDescent="0.2">
      <c r="A93" s="11"/>
      <c r="B93" s="11"/>
      <c r="C93" s="11"/>
      <c r="D93" s="11"/>
      <c r="E93" s="11"/>
      <c r="F93" s="11"/>
      <c r="G93" s="11"/>
      <c r="H93" s="11"/>
      <c r="I93" s="11"/>
    </row>
    <row r="94" spans="1:9" x14ac:dyDescent="0.2">
      <c r="A94" s="11"/>
      <c r="B94" s="11"/>
      <c r="C94" s="11"/>
      <c r="D94" s="11"/>
      <c r="E94" s="11"/>
      <c r="F94" s="11"/>
      <c r="G94" s="11"/>
      <c r="H94" s="11"/>
      <c r="I94" s="11"/>
    </row>
    <row r="95" spans="1:9" x14ac:dyDescent="0.2">
      <c r="A95" s="11"/>
      <c r="B95" s="11"/>
      <c r="C95" s="11"/>
      <c r="D95" s="11"/>
      <c r="E95" s="11"/>
      <c r="F95" s="11"/>
      <c r="G95" s="11"/>
      <c r="H95" s="11"/>
      <c r="I95" s="11"/>
    </row>
    <row r="96" spans="1:9" x14ac:dyDescent="0.2">
      <c r="A96" s="11"/>
      <c r="B96" s="11"/>
      <c r="C96" s="11"/>
      <c r="D96" s="11"/>
      <c r="E96" s="11"/>
      <c r="F96" s="11"/>
      <c r="G96" s="11"/>
      <c r="H96" s="11"/>
      <c r="I96" s="11"/>
    </row>
    <row r="97" spans="1:9" x14ac:dyDescent="0.2">
      <c r="A97" s="11"/>
      <c r="B97" s="11"/>
      <c r="C97" s="11"/>
      <c r="D97" s="11"/>
      <c r="E97" s="11"/>
      <c r="F97" s="11"/>
      <c r="G97" s="11"/>
      <c r="H97" s="11"/>
      <c r="I97" s="11"/>
    </row>
    <row r="98" spans="1:9" x14ac:dyDescent="0.2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4.25" x14ac:dyDescent="0.2">
      <c r="A99" s="510"/>
      <c r="B99" s="510"/>
      <c r="C99" s="510"/>
      <c r="D99" s="510"/>
      <c r="E99" s="510"/>
      <c r="F99" s="15"/>
      <c r="G99" s="10"/>
      <c r="H99" s="10"/>
      <c r="I99" s="11"/>
    </row>
    <row r="100" spans="1:9" ht="14.25" x14ac:dyDescent="0.2">
      <c r="A100" s="510"/>
      <c r="B100" s="510"/>
      <c r="C100" s="510"/>
      <c r="D100" s="510"/>
      <c r="E100" s="510"/>
      <c r="F100" s="15"/>
      <c r="G100" s="10"/>
      <c r="H100" s="10"/>
    </row>
    <row r="101" spans="1:9" ht="14.25" x14ac:dyDescent="0.2">
      <c r="A101" s="510"/>
      <c r="B101" s="510"/>
      <c r="C101" s="510"/>
      <c r="D101" s="510"/>
      <c r="E101" s="510"/>
      <c r="F101" s="15"/>
      <c r="G101" s="10"/>
      <c r="H101" s="10"/>
    </row>
  </sheetData>
  <mergeCells count="23">
    <mergeCell ref="A71:E71"/>
    <mergeCell ref="F71:H71"/>
    <mergeCell ref="A64:H64"/>
    <mergeCell ref="A61:E61"/>
    <mergeCell ref="A1:F1"/>
    <mergeCell ref="A2:F2"/>
    <mergeCell ref="A3:F3"/>
    <mergeCell ref="A58:E58"/>
    <mergeCell ref="A63:H63"/>
    <mergeCell ref="A62:E62"/>
    <mergeCell ref="A57:E57"/>
    <mergeCell ref="F61:H61"/>
    <mergeCell ref="A53:E53"/>
    <mergeCell ref="A54:E54"/>
    <mergeCell ref="A56:E56"/>
    <mergeCell ref="F62:H62"/>
    <mergeCell ref="F56:H56"/>
    <mergeCell ref="F57:H57"/>
    <mergeCell ref="G73:G74"/>
    <mergeCell ref="A72:E72"/>
    <mergeCell ref="A73:A74"/>
    <mergeCell ref="H73:H74"/>
    <mergeCell ref="F73:F74"/>
  </mergeCells>
  <phoneticPr fontId="0" type="noConversion"/>
  <pageMargins left="1.6141732283464567" right="0.15748031496062992" top="0.78740157480314965" bottom="0.15748031496062992" header="0" footer="0"/>
  <pageSetup paperSize="9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view="pageBreakPreview" topLeftCell="A10" zoomScaleNormal="100" workbookViewId="0">
      <selection activeCell="A3" sqref="A3:G32"/>
    </sheetView>
  </sheetViews>
  <sheetFormatPr baseColWidth="10" defaultColWidth="9.140625" defaultRowHeight="12.75" x14ac:dyDescent="0.2"/>
  <cols>
    <col min="1" max="1" width="34.140625" customWidth="1"/>
    <col min="2" max="2" width="14.28515625" customWidth="1"/>
    <col min="3" max="3" width="14.7109375" customWidth="1"/>
    <col min="4" max="5" width="13.28515625" customWidth="1"/>
    <col min="6" max="6" width="13" customWidth="1"/>
    <col min="7" max="7" width="15.5703125" bestFit="1" customWidth="1"/>
    <col min="8" max="8" width="15.7109375" customWidth="1"/>
    <col min="9" max="256" width="11.42578125" customWidth="1"/>
  </cols>
  <sheetData>
    <row r="1" spans="1:9" x14ac:dyDescent="0.2">
      <c r="A1" s="45"/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11"/>
      <c r="B2" s="11"/>
      <c r="C2" s="11"/>
      <c r="D2" s="11"/>
      <c r="E2" s="11"/>
      <c r="F2" s="11"/>
      <c r="G2" s="11"/>
      <c r="H2" s="43"/>
      <c r="I2" s="43"/>
    </row>
    <row r="3" spans="1:9" x14ac:dyDescent="0.2">
      <c r="H3" s="514"/>
      <c r="I3" s="514"/>
    </row>
    <row r="4" spans="1:9" ht="14.25" x14ac:dyDescent="0.2">
      <c r="A4" s="8"/>
      <c r="B4" s="8"/>
      <c r="C4" s="8"/>
      <c r="D4" s="8"/>
      <c r="E4" s="8"/>
      <c r="F4" s="8"/>
      <c r="G4" s="8"/>
      <c r="H4" s="12"/>
      <c r="I4" s="12"/>
    </row>
    <row r="5" spans="1:9" ht="15" x14ac:dyDescent="0.25">
      <c r="A5" s="590" t="s">
        <v>128</v>
      </c>
      <c r="B5" s="590"/>
      <c r="C5" s="590"/>
      <c r="D5" s="590"/>
      <c r="E5" s="590"/>
      <c r="F5" s="590"/>
      <c r="G5" s="590"/>
      <c r="H5" s="13"/>
      <c r="I5" s="13"/>
    </row>
    <row r="6" spans="1:9" ht="15" x14ac:dyDescent="0.25">
      <c r="A6" s="590" t="s">
        <v>170</v>
      </c>
      <c r="B6" s="590"/>
      <c r="C6" s="590"/>
      <c r="D6" s="590"/>
      <c r="E6" s="590"/>
      <c r="F6" s="590"/>
      <c r="G6" s="590"/>
      <c r="H6" s="13"/>
      <c r="I6" s="13"/>
    </row>
    <row r="7" spans="1:9" ht="15" x14ac:dyDescent="0.25">
      <c r="A7" s="590" t="s">
        <v>171</v>
      </c>
      <c r="B7" s="590"/>
      <c r="C7" s="590"/>
      <c r="D7" s="590"/>
      <c r="E7" s="590"/>
      <c r="F7" s="590"/>
      <c r="G7" s="590"/>
      <c r="H7" s="13"/>
      <c r="I7" s="13"/>
    </row>
    <row r="8" spans="1:9" ht="13.5" thickBot="1" x14ac:dyDescent="0.25">
      <c r="A8" s="31"/>
      <c r="B8" s="342"/>
      <c r="C8" s="342"/>
      <c r="D8" s="342"/>
      <c r="E8" s="342"/>
      <c r="F8" s="342"/>
      <c r="G8" s="342"/>
      <c r="H8" s="13"/>
      <c r="I8" s="11"/>
    </row>
    <row r="9" spans="1:9" ht="13.5" thickBot="1" x14ac:dyDescent="0.25">
      <c r="A9" s="401" t="s">
        <v>172</v>
      </c>
      <c r="B9" s="405" t="s">
        <v>132</v>
      </c>
      <c r="C9" s="402" t="s">
        <v>173</v>
      </c>
      <c r="D9" s="373" t="s">
        <v>134</v>
      </c>
      <c r="E9" s="372" t="s">
        <v>174</v>
      </c>
      <c r="F9" s="372" t="s">
        <v>135</v>
      </c>
      <c r="G9" s="374" t="s">
        <v>136</v>
      </c>
      <c r="H9" s="11"/>
      <c r="I9" s="11"/>
    </row>
    <row r="10" spans="1:9" x14ac:dyDescent="0.2">
      <c r="A10" s="375"/>
      <c r="B10" s="400"/>
      <c r="C10" s="403"/>
      <c r="D10" s="376"/>
      <c r="E10" s="376"/>
      <c r="F10" s="376"/>
      <c r="G10" s="350"/>
      <c r="H10" s="43"/>
      <c r="I10" s="43"/>
    </row>
    <row r="11" spans="1:9" x14ac:dyDescent="0.2">
      <c r="A11" s="377" t="s">
        <v>175</v>
      </c>
      <c r="B11" s="378">
        <v>27297.38</v>
      </c>
      <c r="C11" s="348"/>
      <c r="D11" s="351">
        <v>66926.59</v>
      </c>
      <c r="E11" s="351">
        <v>352912.26</v>
      </c>
      <c r="F11" s="351"/>
      <c r="G11" s="350">
        <f>SUM(B11:F11)</f>
        <v>447136.23</v>
      </c>
      <c r="H11" s="11"/>
      <c r="I11" s="258"/>
    </row>
    <row r="12" spans="1:9" x14ac:dyDescent="0.2">
      <c r="A12" s="377" t="s">
        <v>176</v>
      </c>
      <c r="B12" s="351">
        <v>513.57000000000005</v>
      </c>
      <c r="C12" s="348"/>
      <c r="D12" s="351">
        <v>1250.43</v>
      </c>
      <c r="E12" s="31">
        <v>539.38</v>
      </c>
      <c r="F12" s="351"/>
      <c r="G12" s="350">
        <f>SUM(B12:F12)</f>
        <v>2303.38</v>
      </c>
      <c r="H12" s="16"/>
      <c r="I12" s="16"/>
    </row>
    <row r="13" spans="1:9" x14ac:dyDescent="0.2">
      <c r="A13" s="379" t="s">
        <v>177</v>
      </c>
      <c r="B13" s="380">
        <f>SUM(B11:B12)</f>
        <v>27810.95</v>
      </c>
      <c r="C13" s="404"/>
      <c r="D13" s="380">
        <f>SUM(D11:D12)</f>
        <v>68177.01999999999</v>
      </c>
      <c r="E13" s="381">
        <f>SUM(E10:E12)</f>
        <v>353451.64</v>
      </c>
      <c r="F13" s="380"/>
      <c r="G13" s="382">
        <f>SUM(G11:G12)</f>
        <v>449439.61</v>
      </c>
      <c r="H13" s="16"/>
      <c r="I13" s="16"/>
    </row>
    <row r="14" spans="1:9" x14ac:dyDescent="0.2">
      <c r="A14" s="377" t="s">
        <v>178</v>
      </c>
      <c r="B14" s="349">
        <v>485678.21</v>
      </c>
      <c r="C14" s="287"/>
      <c r="D14" s="349"/>
      <c r="E14" s="349"/>
      <c r="F14" s="349"/>
      <c r="G14" s="350">
        <f>SUM(B14:F14)</f>
        <v>485678.21</v>
      </c>
      <c r="H14" s="11"/>
      <c r="I14" s="11"/>
    </row>
    <row r="15" spans="1:9" x14ac:dyDescent="0.2">
      <c r="A15" s="399" t="s">
        <v>179</v>
      </c>
      <c r="B15" s="349">
        <v>107500</v>
      </c>
      <c r="C15" s="287"/>
      <c r="D15" s="349"/>
      <c r="E15" s="31"/>
      <c r="F15" s="349"/>
      <c r="G15" s="350">
        <f>SUM(B15:F15)</f>
        <v>107500</v>
      </c>
      <c r="H15" s="11"/>
      <c r="I15" s="11"/>
    </row>
    <row r="16" spans="1:9" x14ac:dyDescent="0.2">
      <c r="A16" s="377" t="s">
        <v>180</v>
      </c>
      <c r="B16" s="349">
        <v>2200330.98</v>
      </c>
      <c r="C16" s="287"/>
      <c r="D16" s="349"/>
      <c r="E16" s="349"/>
      <c r="F16" s="349"/>
      <c r="G16" s="350">
        <f>SUM(B16:F16)</f>
        <v>2200330.98</v>
      </c>
      <c r="H16" s="11"/>
      <c r="I16" s="11"/>
    </row>
    <row r="17" spans="1:10" x14ac:dyDescent="0.2">
      <c r="A17" s="377" t="s">
        <v>181</v>
      </c>
      <c r="B17" s="349"/>
      <c r="C17" s="287"/>
      <c r="D17" s="349">
        <v>7120</v>
      </c>
      <c r="E17" s="349"/>
      <c r="F17" s="349"/>
      <c r="G17" s="350">
        <f>SUM(B17:F17)</f>
        <v>7120</v>
      </c>
      <c r="H17" s="11"/>
      <c r="I17" s="11"/>
    </row>
    <row r="18" spans="1:10" x14ac:dyDescent="0.2">
      <c r="A18" s="379" t="s">
        <v>182</v>
      </c>
      <c r="B18" s="349"/>
      <c r="C18" s="287"/>
      <c r="D18" s="349"/>
      <c r="E18" s="349"/>
      <c r="F18" s="349">
        <f>1070793.82</f>
        <v>1070793.82</v>
      </c>
      <c r="G18" s="350">
        <f>SUM(C18:F18)</f>
        <v>1070793.82</v>
      </c>
      <c r="H18" s="11"/>
      <c r="I18" s="11"/>
    </row>
    <row r="19" spans="1:10" x14ac:dyDescent="0.2">
      <c r="A19" s="383" t="s">
        <v>183</v>
      </c>
      <c r="B19" s="349"/>
      <c r="C19" s="287">
        <f>+B14</f>
        <v>485678.21</v>
      </c>
      <c r="D19" s="349"/>
      <c r="E19" s="349"/>
      <c r="F19" s="349"/>
      <c r="G19" s="349">
        <f>SUM(C19:F19)</f>
        <v>485678.21</v>
      </c>
      <c r="H19" s="11"/>
      <c r="I19" s="11"/>
    </row>
    <row r="20" spans="1:10" x14ac:dyDescent="0.2">
      <c r="A20" s="383" t="s">
        <v>184</v>
      </c>
      <c r="B20" s="349"/>
      <c r="C20" s="287">
        <v>182.25</v>
      </c>
      <c r="D20" s="349"/>
      <c r="E20" s="349"/>
      <c r="F20" s="349"/>
      <c r="G20" s="349">
        <f>SUM(C20:F20)</f>
        <v>182.25</v>
      </c>
      <c r="H20" s="11"/>
      <c r="I20" s="11"/>
    </row>
    <row r="21" spans="1:10" x14ac:dyDescent="0.2">
      <c r="A21" s="383" t="s">
        <v>185</v>
      </c>
      <c r="B21" s="349"/>
      <c r="C21" s="287"/>
      <c r="D21" s="351"/>
      <c r="E21" s="349"/>
      <c r="F21" s="349">
        <v>2701338.05</v>
      </c>
      <c r="G21" s="349">
        <f>SUM(F21)</f>
        <v>2701338.05</v>
      </c>
      <c r="H21" s="11"/>
      <c r="I21" s="11"/>
    </row>
    <row r="22" spans="1:10" x14ac:dyDescent="0.2">
      <c r="A22" s="398" t="s">
        <v>141</v>
      </c>
      <c r="B22" s="349"/>
      <c r="C22" s="287"/>
      <c r="D22" s="351"/>
      <c r="E22" s="349"/>
      <c r="F22" s="349">
        <v>2144061.1800000002</v>
      </c>
      <c r="G22" s="349">
        <f>SUM(C22:F22)</f>
        <v>2144061.1800000002</v>
      </c>
      <c r="H22" s="11"/>
      <c r="I22" s="11"/>
    </row>
    <row r="23" spans="1:10" x14ac:dyDescent="0.2">
      <c r="A23" s="384" t="s">
        <v>186</v>
      </c>
      <c r="B23" s="349"/>
      <c r="C23" s="287"/>
      <c r="D23" s="349"/>
      <c r="E23" s="349"/>
      <c r="F23" s="349">
        <v>72473.41</v>
      </c>
      <c r="G23" s="349">
        <f>SUM(F23)</f>
        <v>72473.41</v>
      </c>
      <c r="H23" s="11"/>
      <c r="I23" s="11"/>
    </row>
    <row r="24" spans="1:10" x14ac:dyDescent="0.2">
      <c r="A24" s="384" t="s">
        <v>187</v>
      </c>
      <c r="B24" s="358"/>
      <c r="C24" s="287"/>
      <c r="D24" s="349"/>
      <c r="E24" s="349"/>
      <c r="F24" s="349">
        <v>91133.79</v>
      </c>
      <c r="G24" s="349">
        <f>SUM(F24)</f>
        <v>91133.79</v>
      </c>
      <c r="H24" s="11"/>
      <c r="I24" s="11"/>
      <c r="J24" t="s">
        <v>188</v>
      </c>
    </row>
    <row r="25" spans="1:10" x14ac:dyDescent="0.2">
      <c r="A25" s="384" t="s">
        <v>189</v>
      </c>
      <c r="B25" s="349"/>
      <c r="C25" s="287"/>
      <c r="D25" s="349"/>
      <c r="E25" s="349"/>
      <c r="F25" s="349">
        <v>600509.66</v>
      </c>
      <c r="G25" s="349">
        <f>SUM(F25)</f>
        <v>600509.66</v>
      </c>
      <c r="H25" s="11"/>
      <c r="I25" s="11"/>
    </row>
    <row r="26" spans="1:10" x14ac:dyDescent="0.2">
      <c r="A26" s="384" t="s">
        <v>190</v>
      </c>
      <c r="B26" s="349"/>
      <c r="C26" s="287">
        <v>1521633.14</v>
      </c>
      <c r="D26" s="349"/>
      <c r="E26" s="349"/>
      <c r="F26" s="349"/>
      <c r="G26" s="349">
        <f>SUM(C26:F26)</f>
        <v>1521633.14</v>
      </c>
      <c r="H26" s="11"/>
      <c r="I26" s="11"/>
    </row>
    <row r="27" spans="1:10" x14ac:dyDescent="0.2">
      <c r="A27" s="269" t="s">
        <v>191</v>
      </c>
      <c r="B27" s="358"/>
      <c r="C27" s="287"/>
      <c r="D27" s="349">
        <v>860.21</v>
      </c>
      <c r="E27" s="349"/>
      <c r="F27" s="349"/>
      <c r="G27" s="349">
        <f>SUM(C27:F27)</f>
        <v>860.21</v>
      </c>
      <c r="H27" s="289"/>
      <c r="I27" s="11"/>
    </row>
    <row r="28" spans="1:10" ht="13.5" thickBot="1" x14ac:dyDescent="0.25">
      <c r="A28" s="377" t="s">
        <v>192</v>
      </c>
      <c r="B28" s="385"/>
      <c r="C28" s="287">
        <v>3950</v>
      </c>
      <c r="D28" s="360"/>
      <c r="E28" s="360"/>
      <c r="F28" s="351"/>
      <c r="G28" s="350">
        <f>SUM(C28:F28)</f>
        <v>3950</v>
      </c>
      <c r="H28" s="54"/>
      <c r="I28" s="4"/>
    </row>
    <row r="29" spans="1:10" ht="13.5" thickBot="1" x14ac:dyDescent="0.25">
      <c r="A29" s="386" t="s">
        <v>136</v>
      </c>
      <c r="B29" s="387">
        <f t="shared" ref="B29:G29" si="0">SUM(B13:B28)</f>
        <v>2821320.14</v>
      </c>
      <c r="C29" s="387">
        <f t="shared" si="0"/>
        <v>2011443.5999999999</v>
      </c>
      <c r="D29" s="387">
        <f t="shared" si="0"/>
        <v>76157.23</v>
      </c>
      <c r="E29" s="387">
        <f t="shared" si="0"/>
        <v>353451.64</v>
      </c>
      <c r="F29" s="387">
        <f t="shared" si="0"/>
        <v>6680309.9100000011</v>
      </c>
      <c r="G29" s="387">
        <f t="shared" si="0"/>
        <v>11942682.520000001</v>
      </c>
      <c r="H29" s="46"/>
      <c r="I29" s="46"/>
    </row>
    <row r="30" spans="1:10" x14ac:dyDescent="0.2">
      <c r="A30" s="388"/>
      <c r="B30" s="389"/>
      <c r="C30" s="389"/>
      <c r="D30" s="389"/>
      <c r="E30" s="389"/>
      <c r="F30" s="389"/>
      <c r="G30" s="390"/>
      <c r="H30" s="46"/>
      <c r="I30" s="46"/>
    </row>
    <row r="31" spans="1:10" ht="14.25" x14ac:dyDescent="0.2">
      <c r="A31" s="369"/>
      <c r="B31" s="371"/>
      <c r="C31" s="371"/>
      <c r="D31" s="371"/>
      <c r="E31" s="371"/>
      <c r="F31" s="371"/>
      <c r="G31" s="370"/>
      <c r="H31" s="11"/>
      <c r="I31" s="11"/>
    </row>
    <row r="32" spans="1:10" x14ac:dyDescent="0.2">
      <c r="A32" s="365"/>
      <c r="B32" s="366"/>
      <c r="C32" s="366"/>
      <c r="D32" s="366"/>
      <c r="E32" s="366"/>
      <c r="F32" s="366"/>
      <c r="G32" s="367"/>
      <c r="H32" s="11"/>
      <c r="I32" s="11"/>
    </row>
    <row r="33" spans="1:9" ht="15" x14ac:dyDescent="0.25">
      <c r="D33" t="s">
        <v>193</v>
      </c>
      <c r="H33" s="18"/>
      <c r="I33" s="18"/>
    </row>
    <row r="34" spans="1:9" ht="15" x14ac:dyDescent="0.25">
      <c r="H34" s="18"/>
      <c r="I34" s="18"/>
    </row>
    <row r="35" spans="1:9" ht="15" x14ac:dyDescent="0.25">
      <c r="H35" s="18"/>
      <c r="I35" s="18"/>
    </row>
    <row r="36" spans="1:9" ht="15" x14ac:dyDescent="0.25">
      <c r="H36" s="18"/>
      <c r="I36" s="18"/>
    </row>
    <row r="37" spans="1:9" ht="14.25" x14ac:dyDescent="0.2">
      <c r="H37" s="10"/>
      <c r="I37" s="10"/>
    </row>
    <row r="38" spans="1:9" ht="14.25" x14ac:dyDescent="0.2">
      <c r="H38" s="10"/>
      <c r="I38" s="10"/>
    </row>
    <row r="39" spans="1:9" ht="14.25" x14ac:dyDescent="0.2">
      <c r="H39" s="10"/>
      <c r="I39" s="10"/>
    </row>
    <row r="40" spans="1:9" ht="15" x14ac:dyDescent="0.25">
      <c r="A40" s="4"/>
      <c r="B40" s="4"/>
      <c r="C40" s="4"/>
      <c r="D40" s="4"/>
      <c r="E40" s="4"/>
      <c r="F40" s="4"/>
      <c r="G40" s="11"/>
      <c r="H40" s="18"/>
      <c r="I40" s="18"/>
    </row>
    <row r="41" spans="1:9" ht="14.25" x14ac:dyDescent="0.2">
      <c r="A41" s="4"/>
      <c r="B41" s="4"/>
      <c r="C41" s="4"/>
      <c r="D41" s="4"/>
      <c r="E41" s="4"/>
      <c r="F41" s="4"/>
      <c r="H41" s="10"/>
      <c r="I41" s="10"/>
    </row>
    <row r="42" spans="1:9" ht="15" x14ac:dyDescent="0.25">
      <c r="A42" s="510"/>
      <c r="B42" s="510"/>
      <c r="C42" s="510"/>
      <c r="D42" s="510"/>
      <c r="E42" s="510"/>
      <c r="F42" s="510"/>
      <c r="G42" s="17"/>
      <c r="H42" s="10"/>
      <c r="I42" s="10"/>
    </row>
    <row r="43" spans="1:9" ht="14.25" x14ac:dyDescent="0.2">
      <c r="A43" s="510"/>
      <c r="B43" s="510"/>
      <c r="C43" s="510"/>
      <c r="D43" s="510"/>
      <c r="E43" s="510"/>
      <c r="F43" s="510"/>
      <c r="G43" s="14"/>
      <c r="H43" s="10"/>
      <c r="I43" s="10"/>
    </row>
    <row r="44" spans="1:9" ht="14.25" x14ac:dyDescent="0.2">
      <c r="A44" s="510"/>
      <c r="B44" s="510"/>
      <c r="C44" s="510"/>
      <c r="D44" s="510"/>
      <c r="E44" s="510"/>
      <c r="F44" s="510"/>
      <c r="G44" s="14"/>
      <c r="H44" s="10"/>
      <c r="I44" s="10"/>
    </row>
    <row r="45" spans="1:9" ht="15" x14ac:dyDescent="0.25">
      <c r="A45" s="510"/>
      <c r="B45" s="510"/>
      <c r="C45" s="510"/>
      <c r="D45" s="510"/>
      <c r="E45" s="510"/>
      <c r="F45" s="510"/>
      <c r="G45" s="17"/>
      <c r="H45" s="20"/>
      <c r="I45" s="21"/>
    </row>
    <row r="46" spans="1:9" ht="14.25" x14ac:dyDescent="0.2">
      <c r="A46" s="510"/>
      <c r="B46" s="510"/>
      <c r="C46" s="510"/>
      <c r="D46" s="510"/>
      <c r="E46" s="510"/>
      <c r="F46" s="510"/>
      <c r="G46" s="14"/>
      <c r="H46" s="10"/>
      <c r="I46" s="10"/>
    </row>
    <row r="47" spans="1:9" ht="14.25" x14ac:dyDescent="0.2">
      <c r="A47" s="510"/>
      <c r="B47" s="510"/>
      <c r="C47" s="510"/>
      <c r="D47" s="510"/>
      <c r="E47" s="510"/>
      <c r="F47" s="510"/>
      <c r="G47" s="14"/>
      <c r="H47" s="10"/>
      <c r="I47" s="10"/>
    </row>
    <row r="48" spans="1:9" ht="14.25" x14ac:dyDescent="0.2">
      <c r="A48" s="510"/>
      <c r="B48" s="510"/>
      <c r="C48" s="510"/>
      <c r="D48" s="510"/>
      <c r="E48" s="510"/>
      <c r="F48" s="510"/>
      <c r="G48" s="14"/>
      <c r="H48" s="10"/>
      <c r="I48" s="10"/>
    </row>
    <row r="49" spans="1:9" ht="14.25" x14ac:dyDescent="0.2">
      <c r="A49" s="510"/>
      <c r="B49" s="510"/>
      <c r="C49" s="510"/>
      <c r="D49" s="510"/>
      <c r="E49" s="510"/>
      <c r="F49" s="510"/>
      <c r="G49" s="14"/>
      <c r="H49" s="10"/>
      <c r="I49" s="10"/>
    </row>
    <row r="50" spans="1:9" ht="14.25" x14ac:dyDescent="0.2">
      <c r="A50" s="510"/>
      <c r="B50" s="510"/>
      <c r="C50" s="510"/>
      <c r="D50" s="510"/>
      <c r="E50" s="510"/>
      <c r="F50" s="510"/>
      <c r="G50" s="14"/>
      <c r="H50" s="10"/>
      <c r="I50" s="10"/>
    </row>
    <row r="51" spans="1:9" ht="14.25" x14ac:dyDescent="0.2">
      <c r="A51" s="510"/>
      <c r="B51" s="510"/>
      <c r="C51" s="510"/>
      <c r="D51" s="510"/>
      <c r="E51" s="510"/>
      <c r="F51" s="510"/>
      <c r="G51" s="14"/>
      <c r="H51" s="10"/>
      <c r="I51" s="10"/>
    </row>
    <row r="52" spans="1:9" ht="14.25" x14ac:dyDescent="0.2">
      <c r="A52" s="510"/>
      <c r="B52" s="510"/>
      <c r="C52" s="510"/>
      <c r="D52" s="510"/>
      <c r="E52" s="510"/>
      <c r="F52" s="510"/>
      <c r="G52" s="14"/>
      <c r="H52" s="10"/>
      <c r="I52" s="10"/>
    </row>
    <row r="53" spans="1:9" ht="15" x14ac:dyDescent="0.25">
      <c r="A53" s="510"/>
      <c r="B53" s="510"/>
      <c r="C53" s="510"/>
      <c r="D53" s="510"/>
      <c r="E53" s="510"/>
      <c r="F53" s="510"/>
      <c r="G53" s="14"/>
      <c r="H53" s="18"/>
      <c r="I53" s="18"/>
    </row>
    <row r="54" spans="1:9" ht="14.25" x14ac:dyDescent="0.2">
      <c r="A54" s="510"/>
      <c r="B54" s="510"/>
      <c r="C54" s="510"/>
      <c r="D54" s="510"/>
      <c r="E54" s="510"/>
      <c r="F54" s="510"/>
      <c r="G54" s="14"/>
      <c r="H54" s="10"/>
      <c r="I54" s="10"/>
    </row>
    <row r="55" spans="1:9" ht="14.25" x14ac:dyDescent="0.2">
      <c r="A55" s="510"/>
      <c r="B55" s="510"/>
      <c r="C55" s="510"/>
      <c r="D55" s="510"/>
      <c r="E55" s="510"/>
      <c r="F55" s="510"/>
      <c r="G55" s="14"/>
      <c r="H55" s="10"/>
      <c r="I55" s="10"/>
    </row>
    <row r="56" spans="1:9" ht="15" x14ac:dyDescent="0.25">
      <c r="A56" s="510"/>
      <c r="B56" s="510"/>
      <c r="C56" s="510"/>
      <c r="D56" s="510"/>
      <c r="E56" s="510"/>
      <c r="F56" s="510"/>
      <c r="G56" s="14"/>
      <c r="H56" s="10"/>
      <c r="I56" s="18"/>
    </row>
    <row r="57" spans="1:9" ht="15" x14ac:dyDescent="0.25">
      <c r="A57" s="510"/>
      <c r="B57" s="510"/>
      <c r="C57" s="510"/>
      <c r="D57" s="510"/>
      <c r="E57" s="510"/>
      <c r="F57" s="510"/>
      <c r="G57" s="14"/>
      <c r="H57" s="18"/>
      <c r="I57" s="18"/>
    </row>
    <row r="58" spans="1:9" ht="14.25" x14ac:dyDescent="0.2">
      <c r="A58" s="510"/>
      <c r="B58" s="510"/>
      <c r="C58" s="510"/>
      <c r="D58" s="510"/>
      <c r="E58" s="510"/>
      <c r="F58" s="510"/>
      <c r="G58" s="14"/>
      <c r="H58" s="10"/>
      <c r="I58" s="10"/>
    </row>
    <row r="59" spans="1:9" ht="14.25" x14ac:dyDescent="0.2">
      <c r="A59" s="510"/>
      <c r="B59" s="510"/>
      <c r="C59" s="510"/>
      <c r="D59" s="510"/>
      <c r="E59" s="510"/>
      <c r="F59" s="510"/>
      <c r="G59" s="14"/>
      <c r="H59" s="10"/>
      <c r="I59" s="10"/>
    </row>
    <row r="60" spans="1:9" ht="14.25" x14ac:dyDescent="0.2">
      <c r="A60" s="510"/>
      <c r="B60" s="510"/>
      <c r="C60" s="510"/>
      <c r="D60" s="510"/>
      <c r="E60" s="510"/>
      <c r="F60" s="510"/>
      <c r="G60" s="14"/>
      <c r="H60" s="10"/>
      <c r="I60" s="10"/>
    </row>
    <row r="61" spans="1:9" ht="14.25" x14ac:dyDescent="0.2">
      <c r="A61" s="510"/>
      <c r="B61" s="510"/>
      <c r="C61" s="510"/>
      <c r="D61" s="510"/>
      <c r="E61" s="510"/>
      <c r="F61" s="510"/>
      <c r="G61" s="14"/>
      <c r="H61" s="10"/>
      <c r="I61" s="10"/>
    </row>
    <row r="62" spans="1:9" ht="14.25" x14ac:dyDescent="0.2">
      <c r="A62" s="510"/>
      <c r="B62" s="510"/>
      <c r="C62" s="510"/>
      <c r="D62" s="510"/>
      <c r="E62" s="510"/>
      <c r="F62" s="510"/>
      <c r="G62" s="14"/>
      <c r="H62" s="10"/>
      <c r="I62" s="10"/>
    </row>
    <row r="63" spans="1:9" ht="14.25" x14ac:dyDescent="0.2">
      <c r="A63" s="510"/>
      <c r="B63" s="510"/>
      <c r="C63" s="510"/>
      <c r="D63" s="510"/>
      <c r="E63" s="510"/>
      <c r="F63" s="510"/>
      <c r="G63" s="14"/>
      <c r="H63" s="10"/>
      <c r="I63" s="10"/>
    </row>
    <row r="64" spans="1:9" ht="14.25" x14ac:dyDescent="0.2">
      <c r="A64" s="510"/>
      <c r="B64" s="510"/>
      <c r="C64" s="510"/>
      <c r="D64" s="510"/>
      <c r="E64" s="510"/>
      <c r="F64" s="510"/>
      <c r="G64" s="14"/>
      <c r="H64" s="10"/>
      <c r="I64" s="10"/>
    </row>
    <row r="65" spans="1:9" ht="14.25" x14ac:dyDescent="0.2">
      <c r="A65" s="510"/>
      <c r="B65" s="510"/>
      <c r="C65" s="510"/>
      <c r="D65" s="510"/>
      <c r="E65" s="510"/>
      <c r="F65" s="510"/>
      <c r="G65" s="14"/>
      <c r="H65" s="10"/>
      <c r="I65" s="10"/>
    </row>
    <row r="66" spans="1:9" ht="14.25" x14ac:dyDescent="0.2">
      <c r="A66" s="510"/>
      <c r="B66" s="510"/>
      <c r="C66" s="510"/>
      <c r="D66" s="510"/>
      <c r="E66" s="510"/>
      <c r="F66" s="510"/>
      <c r="G66" s="14"/>
      <c r="H66" s="10"/>
      <c r="I66" s="10"/>
    </row>
    <row r="67" spans="1:9" ht="14.25" x14ac:dyDescent="0.2">
      <c r="A67" s="510"/>
      <c r="B67" s="510"/>
      <c r="C67" s="510"/>
      <c r="D67" s="510"/>
      <c r="E67" s="510"/>
      <c r="F67" s="510"/>
      <c r="G67" s="14"/>
      <c r="H67" s="10"/>
      <c r="I67" s="10"/>
    </row>
    <row r="68" spans="1:9" ht="14.25" x14ac:dyDescent="0.2">
      <c r="A68" s="510"/>
      <c r="B68" s="510"/>
      <c r="C68" s="510"/>
      <c r="D68" s="510"/>
      <c r="E68" s="510"/>
      <c r="F68" s="510"/>
      <c r="G68" s="14"/>
      <c r="H68" s="10"/>
      <c r="I68" s="10"/>
    </row>
    <row r="69" spans="1:9" ht="14.25" x14ac:dyDescent="0.2">
      <c r="A69" s="510"/>
      <c r="B69" s="510"/>
      <c r="C69" s="510"/>
      <c r="D69" s="510"/>
      <c r="E69" s="510"/>
      <c r="F69" s="510"/>
      <c r="G69" s="14"/>
      <c r="H69" s="10"/>
      <c r="I69" s="10"/>
    </row>
    <row r="70" spans="1:9" ht="14.25" x14ac:dyDescent="0.2">
      <c r="A70" s="510"/>
      <c r="B70" s="510"/>
      <c r="C70" s="510"/>
      <c r="D70" s="510"/>
      <c r="E70" s="510"/>
      <c r="F70" s="510"/>
      <c r="G70" s="14"/>
      <c r="H70" s="10"/>
      <c r="I70" s="10"/>
    </row>
    <row r="71" spans="1:9" ht="15" x14ac:dyDescent="0.25">
      <c r="A71" s="510"/>
      <c r="B71" s="510"/>
      <c r="C71" s="510"/>
      <c r="D71" s="510"/>
      <c r="E71" s="510"/>
      <c r="F71" s="510"/>
      <c r="G71" s="14"/>
      <c r="H71" s="18"/>
      <c r="I71" s="18"/>
    </row>
    <row r="72" spans="1:9" ht="14.25" x14ac:dyDescent="0.2">
      <c r="A72" s="510"/>
      <c r="B72" s="510"/>
      <c r="C72" s="510"/>
      <c r="D72" s="510"/>
      <c r="E72" s="510"/>
      <c r="F72" s="510"/>
      <c r="G72" s="14"/>
      <c r="H72" s="10"/>
      <c r="I72" s="10"/>
    </row>
    <row r="73" spans="1:9" ht="14.25" x14ac:dyDescent="0.2">
      <c r="A73" s="510"/>
      <c r="B73" s="510"/>
      <c r="C73" s="510"/>
      <c r="D73" s="510"/>
      <c r="E73" s="510"/>
      <c r="F73" s="510"/>
      <c r="G73" s="14"/>
      <c r="H73" s="10"/>
      <c r="I73" s="10"/>
    </row>
    <row r="74" spans="1:9" ht="14.25" x14ac:dyDescent="0.2">
      <c r="A74" s="510"/>
      <c r="B74" s="510"/>
      <c r="C74" s="510"/>
      <c r="D74" s="510"/>
      <c r="E74" s="510"/>
      <c r="F74" s="510"/>
      <c r="G74" s="14"/>
      <c r="H74" s="10"/>
      <c r="I74" s="10"/>
    </row>
    <row r="75" spans="1:9" ht="14.25" x14ac:dyDescent="0.2">
      <c r="A75" s="510"/>
      <c r="B75" s="510"/>
      <c r="C75" s="510"/>
      <c r="D75" s="510"/>
      <c r="E75" s="510"/>
      <c r="F75" s="510"/>
      <c r="G75" s="14"/>
      <c r="H75" s="10"/>
      <c r="I75" s="10"/>
    </row>
    <row r="76" spans="1:9" ht="14.25" x14ac:dyDescent="0.2">
      <c r="A76" s="510"/>
      <c r="B76" s="510"/>
      <c r="C76" s="510"/>
      <c r="D76" s="510"/>
      <c r="E76" s="510"/>
      <c r="F76" s="510"/>
      <c r="G76" s="14"/>
      <c r="H76" s="10"/>
      <c r="I76" s="10"/>
    </row>
    <row r="77" spans="1:9" ht="14.25" x14ac:dyDescent="0.2">
      <c r="A77" s="510"/>
      <c r="B77" s="510"/>
      <c r="C77" s="510"/>
      <c r="D77" s="510"/>
      <c r="E77" s="510"/>
      <c r="F77" s="510"/>
      <c r="G77" s="14"/>
      <c r="H77" s="10"/>
      <c r="I77" s="10"/>
    </row>
    <row r="78" spans="1:9" ht="14.25" x14ac:dyDescent="0.2">
      <c r="A78" s="510"/>
      <c r="B78" s="510"/>
      <c r="C78" s="510"/>
      <c r="D78" s="510"/>
      <c r="E78" s="510"/>
      <c r="F78" s="510"/>
      <c r="G78" s="14"/>
      <c r="H78" s="10"/>
      <c r="I78" s="10"/>
    </row>
    <row r="79" spans="1:9" ht="14.25" x14ac:dyDescent="0.2">
      <c r="A79" s="510"/>
      <c r="B79" s="510"/>
      <c r="C79" s="510"/>
      <c r="D79" s="510"/>
      <c r="E79" s="510"/>
      <c r="F79" s="510"/>
      <c r="G79" s="14"/>
      <c r="H79" s="10"/>
      <c r="I79" s="10"/>
    </row>
    <row r="80" spans="1:9" ht="14.25" x14ac:dyDescent="0.2">
      <c r="A80" s="11"/>
      <c r="B80" s="510"/>
      <c r="C80" s="510"/>
      <c r="D80" s="510"/>
      <c r="E80" s="510"/>
      <c r="F80" s="510"/>
      <c r="G80" s="14"/>
      <c r="H80" s="10"/>
      <c r="I80" s="10"/>
    </row>
    <row r="81" spans="1:9" ht="14.25" x14ac:dyDescent="0.2">
      <c r="A81" s="510"/>
      <c r="B81" s="510"/>
      <c r="C81" s="510"/>
      <c r="D81" s="510"/>
      <c r="E81" s="510"/>
      <c r="F81" s="510"/>
      <c r="G81" s="14"/>
      <c r="H81" s="10"/>
      <c r="I81" s="10"/>
    </row>
    <row r="82" spans="1:9" ht="14.25" x14ac:dyDescent="0.2">
      <c r="A82" s="510"/>
      <c r="B82" s="510"/>
      <c r="C82" s="510"/>
      <c r="D82" s="510"/>
      <c r="E82" s="510"/>
      <c r="F82" s="510"/>
      <c r="G82" s="14"/>
      <c r="H82" s="10"/>
      <c r="I82" s="10"/>
    </row>
    <row r="83" spans="1:9" ht="14.25" x14ac:dyDescent="0.2">
      <c r="A83" s="510"/>
      <c r="B83" s="510"/>
      <c r="C83" s="510"/>
      <c r="D83" s="510"/>
      <c r="E83" s="510"/>
      <c r="F83" s="510"/>
      <c r="G83" s="14"/>
      <c r="H83" s="10"/>
      <c r="I83" s="10"/>
    </row>
    <row r="84" spans="1:9" ht="14.25" x14ac:dyDescent="0.2">
      <c r="A84" s="510"/>
      <c r="B84" s="510"/>
      <c r="C84" s="510"/>
      <c r="D84" s="510"/>
      <c r="E84" s="510"/>
      <c r="F84" s="510"/>
      <c r="G84" s="14"/>
      <c r="H84" s="10"/>
      <c r="I84" s="10"/>
    </row>
    <row r="85" spans="1:9" ht="14.25" x14ac:dyDescent="0.2">
      <c r="A85" s="510"/>
      <c r="B85" s="510"/>
      <c r="C85" s="510"/>
      <c r="D85" s="510"/>
      <c r="E85" s="510"/>
      <c r="F85" s="510"/>
      <c r="G85" s="14"/>
      <c r="H85" s="10"/>
      <c r="I85" s="10"/>
    </row>
    <row r="86" spans="1:9" ht="14.25" x14ac:dyDescent="0.2">
      <c r="A86" s="510"/>
      <c r="B86" s="510"/>
      <c r="C86" s="510"/>
      <c r="D86" s="510"/>
      <c r="E86" s="510"/>
      <c r="F86" s="510"/>
      <c r="G86" s="14"/>
      <c r="H86" s="10"/>
      <c r="I86" s="10"/>
    </row>
    <row r="87" spans="1:9" ht="14.25" x14ac:dyDescent="0.2">
      <c r="A87" s="510"/>
      <c r="B87" s="510"/>
      <c r="C87" s="510"/>
      <c r="D87" s="510"/>
      <c r="E87" s="510"/>
      <c r="F87" s="510"/>
      <c r="G87" s="14"/>
      <c r="H87" s="10"/>
      <c r="I87" s="10"/>
    </row>
    <row r="88" spans="1:9" ht="14.25" x14ac:dyDescent="0.2">
      <c r="A88" s="510"/>
      <c r="B88" s="510"/>
      <c r="C88" s="510"/>
      <c r="D88" s="510"/>
      <c r="E88" s="510"/>
      <c r="F88" s="510"/>
      <c r="G88" s="14"/>
      <c r="H88" s="10"/>
      <c r="I88" s="10"/>
    </row>
    <row r="89" spans="1:9" ht="14.25" x14ac:dyDescent="0.2">
      <c r="A89" s="510"/>
      <c r="B89" s="510"/>
      <c r="C89" s="510"/>
      <c r="D89" s="510"/>
      <c r="E89" s="510"/>
      <c r="F89" s="510"/>
      <c r="G89" s="14"/>
      <c r="H89" s="10"/>
      <c r="I89" s="10"/>
    </row>
    <row r="90" spans="1:9" ht="14.25" x14ac:dyDescent="0.2">
      <c r="A90" s="510"/>
      <c r="B90" s="510"/>
      <c r="C90" s="510"/>
      <c r="D90" s="510"/>
      <c r="E90" s="510"/>
      <c r="F90" s="510"/>
      <c r="G90" s="14"/>
      <c r="H90" s="10"/>
      <c r="I90" s="10"/>
    </row>
    <row r="91" spans="1:9" ht="14.25" x14ac:dyDescent="0.2">
      <c r="A91" s="594"/>
      <c r="B91" s="594"/>
      <c r="C91" s="594"/>
      <c r="D91" s="594"/>
      <c r="E91" s="594"/>
      <c r="F91" s="594"/>
      <c r="G91" s="594"/>
      <c r="H91" s="594"/>
      <c r="I91" s="594"/>
    </row>
    <row r="92" spans="1:9" ht="15" x14ac:dyDescent="0.25">
      <c r="A92" s="591"/>
      <c r="B92" s="591"/>
      <c r="C92" s="591"/>
      <c r="D92" s="591"/>
      <c r="E92" s="591"/>
      <c r="F92" s="591"/>
      <c r="G92" s="591"/>
      <c r="H92" s="591"/>
      <c r="I92" s="591"/>
    </row>
    <row r="93" spans="1:9" ht="15" x14ac:dyDescent="0.25">
      <c r="A93" s="509"/>
      <c r="B93" s="509"/>
      <c r="C93" s="509"/>
      <c r="D93" s="509"/>
      <c r="E93" s="509"/>
      <c r="F93" s="509"/>
      <c r="G93" s="509"/>
      <c r="H93" s="509"/>
      <c r="I93" s="509"/>
    </row>
    <row r="94" spans="1:9" ht="15" x14ac:dyDescent="0.25">
      <c r="A94" s="509"/>
      <c r="B94" s="509"/>
      <c r="C94" s="509"/>
      <c r="D94" s="509"/>
      <c r="E94" s="509"/>
      <c r="F94" s="509"/>
      <c r="G94" s="509"/>
      <c r="H94" s="509"/>
      <c r="I94" s="509"/>
    </row>
    <row r="95" spans="1:9" ht="14.25" x14ac:dyDescent="0.2">
      <c r="A95" s="510"/>
      <c r="B95" s="510"/>
      <c r="C95" s="510"/>
      <c r="D95" s="510"/>
      <c r="E95" s="510"/>
      <c r="F95" s="510"/>
      <c r="G95" s="14"/>
      <c r="H95" s="10"/>
      <c r="I95" s="10"/>
    </row>
    <row r="96" spans="1:9" ht="14.25" x14ac:dyDescent="0.2">
      <c r="A96" s="510"/>
      <c r="B96" s="510"/>
      <c r="C96" s="510"/>
      <c r="D96" s="510"/>
      <c r="E96" s="510"/>
      <c r="F96" s="510"/>
      <c r="G96" s="14"/>
      <c r="H96" s="10"/>
      <c r="I96" s="10"/>
    </row>
    <row r="97" spans="1:9" ht="14.25" x14ac:dyDescent="0.2">
      <c r="A97" s="510"/>
      <c r="B97" s="510"/>
      <c r="C97" s="510"/>
      <c r="D97" s="510"/>
      <c r="E97" s="510"/>
      <c r="F97" s="510"/>
      <c r="G97" s="14"/>
      <c r="H97" s="10"/>
      <c r="I97" s="10"/>
    </row>
    <row r="98" spans="1:9" ht="15" x14ac:dyDescent="0.25">
      <c r="A98" s="510"/>
      <c r="B98" s="510"/>
      <c r="C98" s="510"/>
      <c r="D98" s="510"/>
      <c r="E98" s="510"/>
      <c r="F98" s="510"/>
      <c r="G98" s="14"/>
      <c r="H98" s="18"/>
      <c r="I98" s="18"/>
    </row>
    <row r="99" spans="1:9" ht="14.25" x14ac:dyDescent="0.2">
      <c r="A99" s="510"/>
      <c r="B99" s="510"/>
      <c r="C99" s="510"/>
      <c r="D99" s="510"/>
      <c r="E99" s="510"/>
      <c r="F99" s="510"/>
      <c r="G99" s="14"/>
      <c r="H99" s="10"/>
      <c r="I99" s="10"/>
    </row>
    <row r="100" spans="1:9" ht="14.25" x14ac:dyDescent="0.2">
      <c r="A100" s="510"/>
      <c r="B100" s="510"/>
      <c r="C100" s="510"/>
      <c r="D100" s="510"/>
      <c r="E100" s="510"/>
      <c r="F100" s="510"/>
      <c r="G100" s="14"/>
      <c r="H100" s="10"/>
      <c r="I100" s="10"/>
    </row>
    <row r="101" spans="1:9" ht="14.25" x14ac:dyDescent="0.2">
      <c r="A101" s="510"/>
      <c r="B101" s="510"/>
      <c r="C101" s="510"/>
      <c r="D101" s="510"/>
      <c r="E101" s="510"/>
      <c r="F101" s="510"/>
      <c r="G101" s="14"/>
      <c r="H101" s="10"/>
      <c r="I101" s="10"/>
    </row>
    <row r="102" spans="1:9" ht="14.25" x14ac:dyDescent="0.2">
      <c r="A102" s="510"/>
      <c r="B102" s="510"/>
      <c r="C102" s="510"/>
      <c r="D102" s="510"/>
      <c r="E102" s="510"/>
      <c r="F102" s="510"/>
      <c r="G102" s="14"/>
      <c r="H102" s="10"/>
      <c r="I102" s="10"/>
    </row>
    <row r="103" spans="1:9" ht="15" x14ac:dyDescent="0.25">
      <c r="A103" s="510"/>
      <c r="B103" s="510"/>
      <c r="C103" s="510"/>
      <c r="D103" s="510"/>
      <c r="E103" s="510"/>
      <c r="F103" s="510"/>
      <c r="G103" s="14"/>
      <c r="H103" s="18"/>
      <c r="I103" s="10"/>
    </row>
    <row r="104" spans="1:9" ht="14.25" x14ac:dyDescent="0.2">
      <c r="A104" s="510"/>
      <c r="B104" s="510"/>
      <c r="C104" s="510"/>
      <c r="D104" s="510"/>
      <c r="E104" s="510"/>
      <c r="F104" s="510"/>
      <c r="G104" s="14"/>
      <c r="H104" s="10"/>
      <c r="I104" s="10"/>
    </row>
    <row r="105" spans="1:9" ht="14.25" x14ac:dyDescent="0.2">
      <c r="A105" s="510"/>
      <c r="B105" s="510"/>
      <c r="C105" s="510"/>
      <c r="D105" s="510"/>
      <c r="E105" s="510"/>
      <c r="F105" s="510"/>
      <c r="G105" s="14"/>
      <c r="H105" s="10"/>
      <c r="I105" s="10"/>
    </row>
    <row r="106" spans="1:9" ht="14.25" x14ac:dyDescent="0.2">
      <c r="A106" s="510"/>
      <c r="B106" s="510"/>
      <c r="C106" s="510"/>
      <c r="D106" s="510"/>
      <c r="E106" s="510"/>
      <c r="F106" s="510"/>
      <c r="G106" s="14"/>
      <c r="H106" s="10"/>
      <c r="I106" s="10"/>
    </row>
    <row r="107" spans="1:9" ht="15" x14ac:dyDescent="0.25">
      <c r="A107" s="510"/>
      <c r="B107" s="510"/>
      <c r="C107" s="510"/>
      <c r="D107" s="510"/>
      <c r="E107" s="510"/>
      <c r="F107" s="510"/>
      <c r="G107" s="14"/>
      <c r="H107" s="18"/>
      <c r="I107" s="18"/>
    </row>
    <row r="108" spans="1:9" ht="14.25" x14ac:dyDescent="0.2">
      <c r="A108" s="510"/>
      <c r="B108" s="510"/>
      <c r="C108" s="510"/>
      <c r="D108" s="510"/>
      <c r="E108" s="510"/>
      <c r="F108" s="510"/>
      <c r="G108" s="14"/>
      <c r="H108" s="10"/>
      <c r="I108" s="11"/>
    </row>
    <row r="109" spans="1:9" ht="14.25" x14ac:dyDescent="0.2">
      <c r="A109" s="510"/>
      <c r="B109" s="510"/>
      <c r="C109" s="510"/>
      <c r="D109" s="510"/>
      <c r="E109" s="510"/>
      <c r="F109" s="510"/>
      <c r="G109" s="14"/>
      <c r="H109" s="10"/>
      <c r="I109" s="10"/>
    </row>
    <row r="110" spans="1:9" ht="14.25" x14ac:dyDescent="0.2">
      <c r="A110" s="510"/>
      <c r="B110" s="510"/>
      <c r="C110" s="510"/>
      <c r="D110" s="510"/>
      <c r="E110" s="510"/>
      <c r="F110" s="510"/>
      <c r="G110" s="14"/>
      <c r="H110" s="10"/>
      <c r="I110" s="10"/>
    </row>
    <row r="111" spans="1:9" ht="14.25" x14ac:dyDescent="0.2">
      <c r="A111" s="510"/>
      <c r="B111" s="510"/>
      <c r="C111" s="510"/>
      <c r="D111" s="510"/>
      <c r="E111" s="510"/>
      <c r="F111" s="510"/>
      <c r="G111" s="15"/>
      <c r="H111" s="10"/>
      <c r="I111" s="10"/>
    </row>
    <row r="112" spans="1:9" ht="14.25" x14ac:dyDescent="0.2">
      <c r="A112" s="510"/>
      <c r="B112" s="510"/>
      <c r="C112" s="510"/>
      <c r="D112" s="510"/>
      <c r="E112" s="510"/>
      <c r="F112" s="510"/>
      <c r="G112" s="15"/>
      <c r="H112" s="10"/>
      <c r="I112" s="10"/>
    </row>
    <row r="113" spans="1:9" ht="14.25" x14ac:dyDescent="0.2">
      <c r="A113" s="510"/>
      <c r="B113" s="510"/>
      <c r="C113" s="510"/>
      <c r="D113" s="510"/>
      <c r="E113" s="510"/>
      <c r="F113" s="510"/>
      <c r="G113" s="15"/>
      <c r="H113" s="10"/>
      <c r="I113" s="10"/>
    </row>
    <row r="114" spans="1:9" ht="14.25" x14ac:dyDescent="0.2">
      <c r="A114" s="510"/>
      <c r="B114" s="510"/>
      <c r="C114" s="510"/>
      <c r="D114" s="510"/>
      <c r="E114" s="510"/>
      <c r="F114" s="510"/>
      <c r="G114" s="15"/>
      <c r="H114" s="10"/>
      <c r="I114" s="10"/>
    </row>
    <row r="115" spans="1:9" ht="14.25" x14ac:dyDescent="0.2">
      <c r="A115" s="510"/>
      <c r="B115" s="510"/>
      <c r="C115" s="510"/>
      <c r="D115" s="510"/>
      <c r="E115" s="510"/>
      <c r="F115" s="510"/>
      <c r="G115" s="15"/>
      <c r="H115" s="10"/>
      <c r="I115" s="10"/>
    </row>
    <row r="116" spans="1:9" ht="14.25" x14ac:dyDescent="0.2">
      <c r="A116" s="510"/>
      <c r="B116" s="510"/>
      <c r="C116" s="510"/>
      <c r="D116" s="510"/>
      <c r="E116" s="510"/>
      <c r="F116" s="510"/>
      <c r="G116" s="15"/>
      <c r="H116" s="10"/>
      <c r="I116" s="10"/>
    </row>
    <row r="117" spans="1:9" ht="14.25" x14ac:dyDescent="0.2">
      <c r="A117" s="510"/>
      <c r="B117" s="510"/>
      <c r="C117" s="510"/>
      <c r="D117" s="510"/>
      <c r="E117" s="510"/>
      <c r="F117" s="510"/>
      <c r="G117" s="15"/>
      <c r="H117" s="10"/>
      <c r="I117" s="10"/>
    </row>
    <row r="118" spans="1:9" ht="14.25" x14ac:dyDescent="0.2">
      <c r="A118" s="510"/>
      <c r="B118" s="510"/>
      <c r="C118" s="510"/>
      <c r="D118" s="510"/>
      <c r="E118" s="510"/>
      <c r="F118" s="510"/>
      <c r="G118" s="15"/>
      <c r="H118" s="10"/>
      <c r="I118" s="10"/>
    </row>
    <row r="119" spans="1:9" ht="15" x14ac:dyDescent="0.25">
      <c r="A119" s="510"/>
      <c r="B119" s="510"/>
      <c r="C119" s="510"/>
      <c r="D119" s="510"/>
      <c r="E119" s="510"/>
      <c r="F119" s="510"/>
      <c r="G119" s="15"/>
      <c r="H119" s="18"/>
      <c r="I119" s="18"/>
    </row>
    <row r="120" spans="1:9" ht="15" x14ac:dyDescent="0.25">
      <c r="A120" s="510"/>
      <c r="B120" s="510"/>
      <c r="C120" s="510"/>
      <c r="D120" s="510"/>
      <c r="E120" s="510"/>
      <c r="F120" s="510"/>
      <c r="G120" s="15"/>
      <c r="H120" s="18"/>
      <c r="I120" s="18"/>
    </row>
    <row r="121" spans="1:9" ht="15" x14ac:dyDescent="0.25">
      <c r="A121" s="510"/>
      <c r="B121" s="510"/>
      <c r="C121" s="510"/>
      <c r="D121" s="510"/>
      <c r="E121" s="510"/>
      <c r="F121" s="510"/>
      <c r="G121" s="15"/>
      <c r="H121" s="18"/>
      <c r="I121" s="18"/>
    </row>
    <row r="122" spans="1:9" ht="15" x14ac:dyDescent="0.25">
      <c r="A122" s="510"/>
      <c r="B122" s="510"/>
      <c r="C122" s="510"/>
      <c r="D122" s="510"/>
      <c r="E122" s="510"/>
      <c r="F122" s="510"/>
      <c r="G122" s="15"/>
      <c r="H122" s="18"/>
      <c r="I122" s="18"/>
    </row>
    <row r="123" spans="1:9" ht="14.25" x14ac:dyDescent="0.2">
      <c r="A123" s="510"/>
      <c r="B123" s="510"/>
      <c r="C123" s="510"/>
      <c r="D123" s="510"/>
      <c r="E123" s="510"/>
      <c r="F123" s="510"/>
      <c r="G123" s="15"/>
      <c r="H123" s="10"/>
      <c r="I123" s="10"/>
    </row>
    <row r="124" spans="1:9" ht="14.25" x14ac:dyDescent="0.2">
      <c r="A124" s="510"/>
      <c r="B124" s="510"/>
      <c r="C124" s="510"/>
      <c r="D124" s="510"/>
      <c r="E124" s="510"/>
      <c r="F124" s="510"/>
      <c r="G124" s="15"/>
      <c r="H124" s="10"/>
      <c r="I124" s="10"/>
    </row>
    <row r="125" spans="1:9" ht="14.25" x14ac:dyDescent="0.2">
      <c r="A125" s="510"/>
      <c r="B125" s="510"/>
      <c r="C125" s="510"/>
      <c r="D125" s="510"/>
      <c r="E125" s="510"/>
      <c r="F125" s="510"/>
      <c r="G125" s="15"/>
      <c r="H125" s="10"/>
      <c r="I125" s="10"/>
    </row>
    <row r="126" spans="1:9" ht="14.25" x14ac:dyDescent="0.2">
      <c r="A126" s="510"/>
      <c r="B126" s="510"/>
      <c r="C126" s="510"/>
      <c r="D126" s="510"/>
      <c r="E126" s="510"/>
      <c r="F126" s="510"/>
      <c r="G126" s="14"/>
      <c r="H126" s="10"/>
      <c r="I126" s="10"/>
    </row>
    <row r="127" spans="1:9" ht="15" x14ac:dyDescent="0.25">
      <c r="A127" s="2"/>
      <c r="B127" s="2"/>
      <c r="C127" s="2"/>
      <c r="D127" s="2"/>
      <c r="E127" s="2"/>
      <c r="F127" s="2"/>
      <c r="G127" s="18"/>
      <c r="H127" s="18"/>
      <c r="I127" s="18"/>
    </row>
    <row r="128" spans="1:9" ht="15" x14ac:dyDescent="0.25">
      <c r="A128" s="591"/>
      <c r="B128" s="591"/>
      <c r="C128" s="591"/>
      <c r="D128" s="591"/>
      <c r="E128" s="591"/>
      <c r="F128" s="591"/>
      <c r="G128" s="18"/>
      <c r="H128" s="18"/>
      <c r="I128" s="18"/>
    </row>
    <row r="129" spans="1:9" ht="15" x14ac:dyDescent="0.25">
      <c r="A129" s="509"/>
      <c r="B129" s="509"/>
      <c r="C129" s="509"/>
      <c r="D129" s="509"/>
      <c r="E129" s="509"/>
      <c r="F129" s="509"/>
      <c r="G129" s="18"/>
      <c r="H129" s="18"/>
      <c r="I129" s="18"/>
    </row>
    <row r="130" spans="1:9" ht="14.25" x14ac:dyDescent="0.2">
      <c r="A130" s="594"/>
      <c r="B130" s="594"/>
      <c r="C130" s="594"/>
      <c r="D130" s="594"/>
      <c r="E130" s="594"/>
      <c r="F130" s="594"/>
      <c r="G130" s="594"/>
      <c r="H130" s="594"/>
      <c r="I130" s="594"/>
    </row>
    <row r="131" spans="1:9" ht="15" x14ac:dyDescent="0.25">
      <c r="A131" s="591"/>
      <c r="B131" s="591"/>
      <c r="C131" s="591"/>
      <c r="D131" s="591"/>
      <c r="E131" s="591"/>
      <c r="F131" s="591"/>
      <c r="G131" s="591"/>
      <c r="H131" s="591"/>
      <c r="I131" s="591"/>
    </row>
    <row r="132" spans="1:9" x14ac:dyDescent="0.2">
      <c r="A132" s="11"/>
      <c r="B132" s="11"/>
      <c r="C132" s="11"/>
      <c r="D132" s="11"/>
      <c r="E132" s="11"/>
      <c r="F132" s="11"/>
      <c r="G132" s="11"/>
      <c r="H132" s="11"/>
      <c r="I132" s="11"/>
    </row>
    <row r="133" spans="1:9" x14ac:dyDescent="0.2">
      <c r="A133" s="11"/>
      <c r="B133" s="11"/>
      <c r="C133" s="11"/>
      <c r="D133" s="11"/>
      <c r="E133" s="11"/>
      <c r="F133" s="11"/>
      <c r="G133" s="11"/>
      <c r="H133" s="11"/>
      <c r="I133" s="11"/>
    </row>
  </sheetData>
  <mergeCells count="12">
    <mergeCell ref="A92:F92"/>
    <mergeCell ref="G92:I92"/>
    <mergeCell ref="A5:G5"/>
    <mergeCell ref="A91:F91"/>
    <mergeCell ref="G91:I91"/>
    <mergeCell ref="A6:G6"/>
    <mergeCell ref="A7:G7"/>
    <mergeCell ref="A131:F131"/>
    <mergeCell ref="G131:I131"/>
    <mergeCell ref="A128:F128"/>
    <mergeCell ref="A130:F130"/>
    <mergeCell ref="G130:I130"/>
  </mergeCells>
  <phoneticPr fontId="2" type="noConversion"/>
  <printOptions verticalCentered="1"/>
  <pageMargins left="2.3622047244094491" right="0.19685039370078741" top="0.35433070866141736" bottom="0.47244094488188981" header="0" footer="0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topLeftCell="A14" zoomScaleNormal="100" workbookViewId="0">
      <selection activeCell="B30" sqref="B30"/>
    </sheetView>
  </sheetViews>
  <sheetFormatPr baseColWidth="10" defaultColWidth="9.140625" defaultRowHeight="12.75" x14ac:dyDescent="0.2"/>
  <cols>
    <col min="1" max="1" width="32" customWidth="1"/>
    <col min="2" max="2" width="17.140625" customWidth="1"/>
    <col min="3" max="3" width="18.7109375" customWidth="1"/>
    <col min="4" max="4" width="22.7109375" customWidth="1"/>
    <col min="5" max="5" width="14.42578125" customWidth="1"/>
    <col min="6" max="6" width="16.28515625" customWidth="1"/>
    <col min="7" max="256" width="11.42578125" customWidth="1"/>
  </cols>
  <sheetData>
    <row r="1" spans="1:5" ht="15" x14ac:dyDescent="0.25">
      <c r="A1" s="590" t="s">
        <v>194</v>
      </c>
      <c r="B1" s="590"/>
      <c r="C1" s="590"/>
      <c r="D1" s="590"/>
    </row>
    <row r="2" spans="1:5" ht="15" x14ac:dyDescent="0.25">
      <c r="A2" s="590" t="s">
        <v>195</v>
      </c>
      <c r="B2" s="590"/>
      <c r="C2" s="590"/>
      <c r="D2" s="590"/>
    </row>
    <row r="3" spans="1:5" ht="15" thickBot="1" x14ac:dyDescent="0.25">
      <c r="A3" s="8"/>
      <c r="B3" s="8"/>
      <c r="C3" s="8"/>
      <c r="D3" s="8"/>
    </row>
    <row r="4" spans="1:5" ht="15.75" x14ac:dyDescent="0.25">
      <c r="A4" s="231" t="s">
        <v>196</v>
      </c>
      <c r="B4" s="55" t="s">
        <v>197</v>
      </c>
      <c r="C4" s="55" t="s">
        <v>7</v>
      </c>
      <c r="D4" s="254" t="s">
        <v>198</v>
      </c>
    </row>
    <row r="5" spans="1:5" ht="15" x14ac:dyDescent="0.2">
      <c r="A5" s="515" t="s">
        <v>199</v>
      </c>
      <c r="B5" s="255">
        <v>6874632.7000000002</v>
      </c>
      <c r="C5" s="255">
        <v>6444240.6799999997</v>
      </c>
      <c r="D5" s="516">
        <f>+C5-B5</f>
        <v>-430392.02000000048</v>
      </c>
    </row>
    <row r="6" spans="1:5" ht="15" x14ac:dyDescent="0.2">
      <c r="A6" s="515" t="s">
        <v>200</v>
      </c>
      <c r="B6" s="255">
        <v>474382.06</v>
      </c>
      <c r="C6" s="255">
        <v>436733.19</v>
      </c>
      <c r="D6" s="516">
        <f>+C6-B6</f>
        <v>-37648.869999999995</v>
      </c>
      <c r="E6" s="47"/>
    </row>
    <row r="7" spans="1:5" ht="15.75" thickBot="1" x14ac:dyDescent="0.25">
      <c r="A7" s="517" t="s">
        <v>201</v>
      </c>
      <c r="B7" s="256">
        <v>1067579.4099999999</v>
      </c>
      <c r="C7" s="256">
        <v>1094879.4099999999</v>
      </c>
      <c r="D7" s="518">
        <f>+C7-B7</f>
        <v>27300</v>
      </c>
      <c r="E7" s="47"/>
    </row>
    <row r="8" spans="1:5" ht="15.75" thickBot="1" x14ac:dyDescent="0.3">
      <c r="A8" s="519" t="s">
        <v>95</v>
      </c>
      <c r="B8" s="162">
        <f>SUM(B5:B7)</f>
        <v>8416594.1699999999</v>
      </c>
      <c r="C8" s="162">
        <f>SUM(C5:C7)</f>
        <v>7975853.2800000003</v>
      </c>
      <c r="D8" s="162">
        <f>SUM(D5:D7)</f>
        <v>-440740.89000000048</v>
      </c>
    </row>
    <row r="9" spans="1:5" ht="14.25" x14ac:dyDescent="0.2">
      <c r="B9" s="150"/>
      <c r="C9" s="109"/>
      <c r="D9" s="160"/>
      <c r="E9" s="44"/>
    </row>
    <row r="10" spans="1:5" ht="50.1" customHeight="1" x14ac:dyDescent="0.2">
      <c r="B10" s="109"/>
      <c r="C10" s="160"/>
      <c r="D10" s="109"/>
      <c r="E10" s="11"/>
    </row>
    <row r="11" spans="1:5" ht="50.1" customHeight="1" x14ac:dyDescent="0.25">
      <c r="A11" s="56" t="s">
        <v>202</v>
      </c>
      <c r="B11" s="520"/>
      <c r="C11" s="110"/>
      <c r="D11" s="178">
        <f>+B8</f>
        <v>8416594.1699999999</v>
      </c>
    </row>
    <row r="12" spans="1:5" ht="50.1" customHeight="1" x14ac:dyDescent="0.25">
      <c r="A12" s="57" t="s">
        <v>203</v>
      </c>
      <c r="B12" s="109"/>
      <c r="C12" s="109"/>
      <c r="D12" s="107"/>
    </row>
    <row r="13" spans="1:5" ht="50.1" customHeight="1" x14ac:dyDescent="0.2">
      <c r="A13" t="s">
        <v>204</v>
      </c>
      <c r="B13" s="274">
        <v>2259583.5699999998</v>
      </c>
      <c r="C13" s="110"/>
      <c r="D13" s="107"/>
      <c r="E13" s="110"/>
    </row>
    <row r="14" spans="1:5" ht="14.25" x14ac:dyDescent="0.2">
      <c r="A14" t="s">
        <v>205</v>
      </c>
      <c r="B14" s="274">
        <f>10000+900+4000+4000+4000+1600+9600+2400+4800-0.11</f>
        <v>41299.89</v>
      </c>
      <c r="C14" s="110"/>
      <c r="D14" s="107"/>
      <c r="E14" s="110"/>
    </row>
    <row r="15" spans="1:5" ht="16.5" x14ac:dyDescent="0.35">
      <c r="A15" t="s">
        <v>206</v>
      </c>
      <c r="B15" s="288">
        <f>34348.99+16484.84+19923+73153.21+34741.34</f>
        <v>178651.38</v>
      </c>
      <c r="C15" s="111"/>
      <c r="D15" s="177"/>
      <c r="E15" s="111"/>
    </row>
    <row r="16" spans="1:5" ht="16.5" x14ac:dyDescent="0.35">
      <c r="A16" s="48"/>
      <c r="B16" s="288"/>
      <c r="C16" s="109"/>
      <c r="D16" s="107"/>
    </row>
    <row r="17" spans="1:6" ht="16.5" x14ac:dyDescent="0.35">
      <c r="A17" s="48" t="s">
        <v>207</v>
      </c>
      <c r="B17" s="268"/>
      <c r="C17" s="109"/>
      <c r="D17" s="242">
        <f>+B13+B14+B15</f>
        <v>2479534.84</v>
      </c>
      <c r="E17" s="44"/>
    </row>
    <row r="18" spans="1:6" ht="14.25" x14ac:dyDescent="0.2">
      <c r="B18" s="274"/>
      <c r="C18" s="109"/>
      <c r="D18" s="107"/>
      <c r="E18" s="44"/>
    </row>
    <row r="19" spans="1:6" ht="15" x14ac:dyDescent="0.25">
      <c r="A19" s="57" t="s">
        <v>208</v>
      </c>
      <c r="B19" s="274"/>
      <c r="C19" s="109"/>
      <c r="D19" s="108">
        <f>+D11+D17</f>
        <v>10896129.01</v>
      </c>
      <c r="E19" s="44"/>
    </row>
    <row r="20" spans="1:6" ht="15" x14ac:dyDescent="0.25">
      <c r="B20" s="274"/>
      <c r="C20" s="108"/>
      <c r="D20" s="107"/>
    </row>
    <row r="21" spans="1:6" ht="14.25" x14ac:dyDescent="0.2">
      <c r="B21" s="271"/>
      <c r="C21" s="109"/>
      <c r="D21" s="177"/>
    </row>
    <row r="22" spans="1:6" ht="15" x14ac:dyDescent="0.25">
      <c r="A22" s="57" t="s">
        <v>209</v>
      </c>
      <c r="B22" s="274"/>
      <c r="C22" s="109"/>
      <c r="D22" s="107"/>
    </row>
    <row r="23" spans="1:6" ht="14.25" x14ac:dyDescent="0.2">
      <c r="A23" t="s">
        <v>210</v>
      </c>
      <c r="B23" s="286">
        <v>2689975.48</v>
      </c>
      <c r="C23" s="109"/>
      <c r="D23" s="107"/>
    </row>
    <row r="24" spans="1:6" ht="15.75" x14ac:dyDescent="0.25">
      <c r="A24" t="s">
        <v>211</v>
      </c>
      <c r="B24" s="287">
        <f>25431.97+14538.91+97793.04+78536.33</f>
        <v>216300.25</v>
      </c>
      <c r="C24" s="109"/>
      <c r="D24" s="177"/>
      <c r="E24" s="56"/>
      <c r="F24" s="11"/>
    </row>
    <row r="25" spans="1:6" ht="14.25" x14ac:dyDescent="0.2">
      <c r="A25" t="s">
        <v>212</v>
      </c>
      <c r="B25" s="521">
        <f>4000+1500+1200+1600+3000+1500+1200</f>
        <v>14000</v>
      </c>
      <c r="C25" s="161"/>
      <c r="D25" s="107"/>
      <c r="F25" s="54"/>
    </row>
    <row r="26" spans="1:6" ht="14.25" x14ac:dyDescent="0.2">
      <c r="B26" s="161"/>
      <c r="C26" s="109"/>
      <c r="D26" s="107"/>
    </row>
    <row r="27" spans="1:6" ht="15" x14ac:dyDescent="0.25">
      <c r="A27" s="57" t="s">
        <v>213</v>
      </c>
      <c r="B27" s="109"/>
      <c r="C27" s="109"/>
      <c r="D27" s="243">
        <f>+B23+B24+B25</f>
        <v>2920275.73</v>
      </c>
      <c r="E27" s="44"/>
      <c r="F27" s="44"/>
    </row>
    <row r="28" spans="1:6" ht="14.25" x14ac:dyDescent="0.2">
      <c r="B28" s="110"/>
      <c r="C28" s="244"/>
      <c r="D28" s="107"/>
      <c r="E28" s="391"/>
    </row>
    <row r="29" spans="1:6" ht="15" x14ac:dyDescent="0.25">
      <c r="A29" t="s">
        <v>214</v>
      </c>
      <c r="B29" s="110"/>
      <c r="C29" s="245"/>
      <c r="D29" s="178">
        <f>+D19-D27</f>
        <v>7975853.2799999993</v>
      </c>
      <c r="E29" s="44"/>
    </row>
    <row r="30" spans="1:6" ht="14.25" x14ac:dyDescent="0.2">
      <c r="B30" s="110"/>
      <c r="C30" s="244"/>
      <c r="D30" s="107"/>
    </row>
    <row r="31" spans="1:6" ht="14.25" x14ac:dyDescent="0.2">
      <c r="A31" t="s">
        <v>215</v>
      </c>
      <c r="B31" s="109"/>
      <c r="C31" s="109"/>
      <c r="D31" s="234">
        <f>+D11</f>
        <v>8416594.1699999999</v>
      </c>
    </row>
    <row r="32" spans="1:6" ht="14.25" x14ac:dyDescent="0.2">
      <c r="B32" s="109"/>
      <c r="C32" s="246"/>
      <c r="D32" s="107"/>
    </row>
    <row r="33" spans="1:6" ht="15.75" thickBot="1" x14ac:dyDescent="0.3">
      <c r="A33" s="48" t="s">
        <v>216</v>
      </c>
      <c r="B33" s="247"/>
      <c r="C33" s="244"/>
      <c r="D33" s="248">
        <f>C32+D29-D31</f>
        <v>-440740.8900000006</v>
      </c>
      <c r="E33" s="44"/>
      <c r="F33" s="44"/>
    </row>
    <row r="34" spans="1:6" ht="13.5" thickTop="1" x14ac:dyDescent="0.2"/>
  </sheetData>
  <mergeCells count="2">
    <mergeCell ref="A1:D1"/>
    <mergeCell ref="A2:D2"/>
  </mergeCells>
  <pageMargins left="0.75" right="0.75" top="1" bottom="1" header="0" footer="0"/>
  <pageSetup paperSize="9" scale="95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BreakPreview" topLeftCell="A8" zoomScaleNormal="100" workbookViewId="0">
      <selection sqref="A1:B12"/>
    </sheetView>
  </sheetViews>
  <sheetFormatPr baseColWidth="10" defaultColWidth="9.140625" defaultRowHeight="12.75" x14ac:dyDescent="0.2"/>
  <cols>
    <col min="1" max="1" width="36.28515625" customWidth="1"/>
    <col min="2" max="2" width="48.85546875" customWidth="1"/>
    <col min="3" max="3" width="17.42578125" customWidth="1"/>
    <col min="4" max="4" width="17.42578125" bestFit="1" customWidth="1"/>
    <col min="5" max="256" width="11.42578125" customWidth="1"/>
  </cols>
  <sheetData>
    <row r="1" spans="1:4" ht="18" x14ac:dyDescent="0.25">
      <c r="A1" s="596" t="s">
        <v>217</v>
      </c>
      <c r="B1" s="596"/>
    </row>
    <row r="2" spans="1:4" ht="18" x14ac:dyDescent="0.25">
      <c r="A2" s="596" t="s">
        <v>218</v>
      </c>
      <c r="B2" s="596"/>
    </row>
    <row r="3" spans="1:4" ht="18" x14ac:dyDescent="0.25">
      <c r="A3" s="49"/>
      <c r="B3" s="49"/>
    </row>
    <row r="4" spans="1:4" ht="50.1" customHeight="1" x14ac:dyDescent="0.25">
      <c r="A4" s="49" t="s">
        <v>202</v>
      </c>
      <c r="B4" s="51">
        <v>21545983.760000002</v>
      </c>
    </row>
    <row r="5" spans="1:4" ht="50.1" customHeight="1" x14ac:dyDescent="0.25">
      <c r="A5" s="49" t="s">
        <v>219</v>
      </c>
      <c r="B5" s="52">
        <f>+'relacion ingresos'!F38</f>
        <v>10815030.090000002</v>
      </c>
    </row>
    <row r="6" spans="1:4" ht="50.1" customHeight="1" x14ac:dyDescent="0.25">
      <c r="A6" s="49" t="s">
        <v>220</v>
      </c>
      <c r="B6" s="50">
        <f>+B4+B5</f>
        <v>32361013.850000001</v>
      </c>
    </row>
    <row r="7" spans="1:4" ht="50.1" customHeight="1" x14ac:dyDescent="0.25">
      <c r="A7" s="49" t="s">
        <v>221</v>
      </c>
      <c r="B7" s="52">
        <f>+'relacion de gastos'!G29</f>
        <v>11942682.520000001</v>
      </c>
    </row>
    <row r="8" spans="1:4" ht="50.1" customHeight="1" x14ac:dyDescent="0.25">
      <c r="A8" s="49" t="s">
        <v>222</v>
      </c>
      <c r="B8" s="51">
        <f>+B6-B7</f>
        <v>20418331.329999998</v>
      </c>
      <c r="C8" s="59"/>
      <c r="D8" s="148"/>
    </row>
    <row r="9" spans="1:4" ht="84.95" customHeight="1" x14ac:dyDescent="0.25">
      <c r="A9" s="49" t="s">
        <v>222</v>
      </c>
      <c r="B9" s="53">
        <f>+B8</f>
        <v>20418331.329999998</v>
      </c>
      <c r="C9" s="159"/>
      <c r="D9" s="149"/>
    </row>
    <row r="10" spans="1:4" ht="50.1" customHeight="1" x14ac:dyDescent="0.25">
      <c r="A10" s="49" t="s">
        <v>223</v>
      </c>
      <c r="B10" s="52">
        <f>+B4</f>
        <v>21545983.760000002</v>
      </c>
      <c r="C10" s="522"/>
      <c r="D10" s="148"/>
    </row>
    <row r="11" spans="1:4" ht="50.1" customHeight="1" x14ac:dyDescent="0.25">
      <c r="A11" s="49" t="s">
        <v>224</v>
      </c>
      <c r="B11" s="249">
        <f>+B9-B10</f>
        <v>-1127652.4300000034</v>
      </c>
      <c r="C11" s="110"/>
      <c r="D11" s="148"/>
    </row>
    <row r="12" spans="1:4" x14ac:dyDescent="0.2">
      <c r="D12" s="109"/>
    </row>
    <row r="17" spans="2:2" x14ac:dyDescent="0.2">
      <c r="B17" s="47"/>
    </row>
  </sheetData>
  <mergeCells count="2">
    <mergeCell ref="A1:B1"/>
    <mergeCell ref="A2:B2"/>
  </mergeCells>
  <phoneticPr fontId="2" type="noConversion"/>
  <pageMargins left="0.75" right="0.75" top="1.67" bottom="1" header="0" footer="0"/>
  <pageSetup scale="9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9" zoomScaleNormal="100" workbookViewId="0">
      <selection activeCell="G22" sqref="G22"/>
    </sheetView>
  </sheetViews>
  <sheetFormatPr baseColWidth="10" defaultColWidth="9.140625" defaultRowHeight="12.75" x14ac:dyDescent="0.2"/>
  <cols>
    <col min="1" max="2" width="6" customWidth="1"/>
    <col min="3" max="3" width="8.140625" customWidth="1"/>
    <col min="4" max="4" width="6.5703125" customWidth="1"/>
    <col min="5" max="5" width="47.140625" customWidth="1"/>
    <col min="6" max="6" width="11.140625" customWidth="1"/>
    <col min="7" max="7" width="19.140625" customWidth="1"/>
    <col min="8" max="8" width="16.5703125" customWidth="1"/>
    <col min="9" max="256" width="11.42578125" customWidth="1"/>
  </cols>
  <sheetData>
    <row r="1" spans="1:8" ht="15" x14ac:dyDescent="0.25">
      <c r="A1" s="597" t="s">
        <v>225</v>
      </c>
      <c r="B1" s="598"/>
      <c r="C1" s="598"/>
      <c r="D1" s="598"/>
      <c r="E1" s="598"/>
      <c r="F1" s="598"/>
      <c r="G1" s="599"/>
    </row>
    <row r="2" spans="1:8" ht="14.25" x14ac:dyDescent="0.2">
      <c r="A2" s="23"/>
      <c r="B2" s="2"/>
      <c r="C2" s="2"/>
      <c r="D2" s="2"/>
      <c r="E2" s="2"/>
      <c r="F2" s="523"/>
      <c r="G2" s="524" t="s">
        <v>226</v>
      </c>
    </row>
    <row r="3" spans="1:8" ht="14.25" x14ac:dyDescent="0.2">
      <c r="A3" s="5" t="s">
        <v>227</v>
      </c>
      <c r="B3" s="2"/>
      <c r="C3" s="2"/>
      <c r="D3" s="2"/>
      <c r="E3" s="2"/>
      <c r="F3" s="3" t="s">
        <v>3</v>
      </c>
      <c r="G3" s="24"/>
    </row>
    <row r="4" spans="1:8" ht="14.25" x14ac:dyDescent="0.2">
      <c r="A4" s="5" t="s">
        <v>4</v>
      </c>
      <c r="B4" s="4"/>
      <c r="C4" s="2"/>
      <c r="D4" s="2"/>
      <c r="E4" s="4"/>
      <c r="F4" s="5" t="s">
        <v>5</v>
      </c>
      <c r="G4" s="25"/>
    </row>
    <row r="5" spans="1:8" ht="15" x14ac:dyDescent="0.25">
      <c r="A5" s="5" t="s">
        <v>228</v>
      </c>
      <c r="B5" s="36" t="s">
        <v>7</v>
      </c>
      <c r="C5" s="2"/>
      <c r="D5" s="2"/>
      <c r="E5" s="4"/>
      <c r="F5" s="5" t="s">
        <v>8</v>
      </c>
      <c r="G5" s="25"/>
    </row>
    <row r="6" spans="1:8" ht="14.25" x14ac:dyDescent="0.2">
      <c r="A6" s="5" t="s">
        <v>9</v>
      </c>
      <c r="B6" s="33">
        <v>2015</v>
      </c>
      <c r="C6" s="2"/>
      <c r="D6" s="2"/>
      <c r="E6" s="4"/>
      <c r="F6" s="6" t="s">
        <v>10</v>
      </c>
      <c r="G6" s="26"/>
    </row>
    <row r="7" spans="1:8" ht="3.75" customHeight="1" thickBot="1" x14ac:dyDescent="0.25">
      <c r="A7" s="27"/>
      <c r="B7" s="7"/>
      <c r="C7" s="7"/>
      <c r="D7" s="7"/>
      <c r="E7" s="7"/>
      <c r="F7" s="7"/>
      <c r="G7" s="28"/>
    </row>
    <row r="8" spans="1:8" ht="14.25" x14ac:dyDescent="0.2">
      <c r="A8" s="29"/>
      <c r="B8" s="19"/>
      <c r="C8" s="19"/>
      <c r="D8" s="19"/>
      <c r="E8" s="19"/>
      <c r="F8" s="19"/>
      <c r="G8" s="30"/>
    </row>
    <row r="9" spans="1:8" ht="15" x14ac:dyDescent="0.25">
      <c r="A9" s="600" t="s">
        <v>229</v>
      </c>
      <c r="B9" s="601"/>
      <c r="C9" s="602"/>
      <c r="D9" s="136"/>
      <c r="E9" s="603" t="s">
        <v>230</v>
      </c>
      <c r="F9" s="603" t="s">
        <v>231</v>
      </c>
      <c r="G9" s="22" t="s">
        <v>232</v>
      </c>
    </row>
    <row r="10" spans="1:8" ht="15" x14ac:dyDescent="0.25">
      <c r="A10" s="605">
        <v>2</v>
      </c>
      <c r="B10" s="606"/>
      <c r="C10" s="607"/>
      <c r="D10" s="137"/>
      <c r="E10" s="604"/>
      <c r="F10" s="604"/>
      <c r="G10" s="9" t="s">
        <v>233</v>
      </c>
    </row>
    <row r="11" spans="1:8" ht="15" thickBot="1" x14ac:dyDescent="0.25">
      <c r="A11" s="1"/>
      <c r="B11" s="37"/>
      <c r="C11" s="2"/>
      <c r="D11" s="2"/>
      <c r="E11" s="37"/>
      <c r="F11" s="2"/>
      <c r="G11" s="37"/>
    </row>
    <row r="12" spans="1:8" x14ac:dyDescent="0.2">
      <c r="A12" s="143" t="s">
        <v>234</v>
      </c>
      <c r="B12" s="142" t="s">
        <v>235</v>
      </c>
      <c r="C12" s="138" t="s">
        <v>236</v>
      </c>
      <c r="D12" s="142" t="s">
        <v>29</v>
      </c>
      <c r="E12" s="139">
        <v>3</v>
      </c>
      <c r="F12" s="38">
        <v>4</v>
      </c>
      <c r="G12" s="406">
        <v>5</v>
      </c>
    </row>
    <row r="13" spans="1:8" ht="15" x14ac:dyDescent="0.25">
      <c r="A13" s="163">
        <v>2</v>
      </c>
      <c r="B13" s="164"/>
      <c r="C13" s="513"/>
      <c r="D13" s="164"/>
      <c r="E13" s="165" t="s">
        <v>237</v>
      </c>
      <c r="F13" s="166">
        <v>100</v>
      </c>
      <c r="G13" s="407">
        <f>+G15+G18</f>
        <v>485678.20999999996</v>
      </c>
      <c r="H13" s="44"/>
    </row>
    <row r="14" spans="1:8" ht="15" x14ac:dyDescent="0.25">
      <c r="A14" s="167"/>
      <c r="B14" s="164"/>
      <c r="C14" s="513"/>
      <c r="D14" s="164"/>
      <c r="E14" s="168"/>
      <c r="F14" s="169"/>
      <c r="G14" s="407"/>
    </row>
    <row r="15" spans="1:8" ht="15" x14ac:dyDescent="0.25">
      <c r="A15" s="163">
        <v>2</v>
      </c>
      <c r="B15" s="170">
        <v>1</v>
      </c>
      <c r="C15" s="171"/>
      <c r="D15" s="170"/>
      <c r="E15" s="165" t="s">
        <v>238</v>
      </c>
      <c r="F15" s="166">
        <v>100</v>
      </c>
      <c r="G15" s="407">
        <f>+G16</f>
        <v>257423.5</v>
      </c>
    </row>
    <row r="16" spans="1:8" ht="14.25" x14ac:dyDescent="0.2">
      <c r="A16" s="163">
        <v>2</v>
      </c>
      <c r="B16" s="170">
        <v>1</v>
      </c>
      <c r="C16" s="171">
        <v>1</v>
      </c>
      <c r="D16" s="170"/>
      <c r="E16" s="172" t="s">
        <v>239</v>
      </c>
      <c r="F16" s="169"/>
      <c r="G16" s="408">
        <f>222512.92+34910.58</f>
        <v>257423.5</v>
      </c>
      <c r="H16" s="44"/>
    </row>
    <row r="17" spans="1:7" ht="14.25" x14ac:dyDescent="0.2">
      <c r="A17" s="163"/>
      <c r="B17" s="170"/>
      <c r="C17" s="171"/>
      <c r="D17" s="170"/>
      <c r="E17" s="172"/>
      <c r="F17" s="169"/>
      <c r="G17" s="408"/>
    </row>
    <row r="18" spans="1:7" ht="15" x14ac:dyDescent="0.25">
      <c r="A18" s="163">
        <v>2</v>
      </c>
      <c r="B18" s="170">
        <v>2</v>
      </c>
      <c r="C18" s="171"/>
      <c r="D18" s="170"/>
      <c r="E18" s="165" t="s">
        <v>240</v>
      </c>
      <c r="F18" s="166">
        <v>100</v>
      </c>
      <c r="G18" s="407">
        <f>+G19</f>
        <v>228254.71</v>
      </c>
    </row>
    <row r="19" spans="1:7" ht="14.25" x14ac:dyDescent="0.2">
      <c r="A19" s="163">
        <v>2</v>
      </c>
      <c r="B19" s="170">
        <v>2</v>
      </c>
      <c r="C19" s="171">
        <v>1</v>
      </c>
      <c r="D19" s="170"/>
      <c r="E19" s="172" t="s">
        <v>241</v>
      </c>
      <c r="F19" s="169"/>
      <c r="G19" s="408">
        <v>228254.71</v>
      </c>
    </row>
    <row r="20" spans="1:7" ht="15" x14ac:dyDescent="0.25">
      <c r="A20" s="173"/>
      <c r="B20" s="174"/>
      <c r="C20" s="166"/>
      <c r="D20" s="174"/>
      <c r="E20" s="175"/>
      <c r="F20" s="176"/>
      <c r="G20" s="409"/>
    </row>
    <row r="21" spans="1:7" ht="15" x14ac:dyDescent="0.25">
      <c r="A21" s="144">
        <v>4</v>
      </c>
      <c r="B21" s="126"/>
      <c r="C21" s="510"/>
      <c r="D21" s="126"/>
      <c r="E21" s="140" t="s">
        <v>87</v>
      </c>
      <c r="F21" s="510">
        <v>100</v>
      </c>
      <c r="G21" s="409">
        <f>+G22+G23</f>
        <v>8284216.9800000004</v>
      </c>
    </row>
    <row r="22" spans="1:7" ht="14.25" x14ac:dyDescent="0.2">
      <c r="A22" s="144">
        <v>4</v>
      </c>
      <c r="B22" s="126">
        <v>1</v>
      </c>
      <c r="C22" s="510">
        <v>1</v>
      </c>
      <c r="D22" s="126"/>
      <c r="E22" s="141" t="s">
        <v>242</v>
      </c>
      <c r="F22" s="510">
        <v>100</v>
      </c>
      <c r="G22" s="411">
        <f>'relacion ingresos'!F17+'relacion ingresos'!F19+'relacion ingresos'!F22</f>
        <v>71450</v>
      </c>
    </row>
    <row r="23" spans="1:7" ht="14.25" x14ac:dyDescent="0.2">
      <c r="A23" s="144">
        <v>4</v>
      </c>
      <c r="B23" s="126">
        <v>1</v>
      </c>
      <c r="C23" s="510">
        <v>2</v>
      </c>
      <c r="D23" s="126"/>
      <c r="E23" s="141" t="s">
        <v>243</v>
      </c>
      <c r="F23" s="510">
        <v>100</v>
      </c>
      <c r="G23" s="411">
        <f>+'relacion ingresos'!F9+'relacion ingresos'!F10+'relacion ingresos'!F36</f>
        <v>8212766.9800000004</v>
      </c>
    </row>
    <row r="24" spans="1:7" ht="14.25" x14ac:dyDescent="0.2">
      <c r="A24" s="144"/>
      <c r="B24" s="126"/>
      <c r="C24" s="510"/>
      <c r="D24" s="126"/>
      <c r="E24" s="141"/>
      <c r="F24" s="510"/>
      <c r="G24" s="410"/>
    </row>
    <row r="25" spans="1:7" ht="15" x14ac:dyDescent="0.25">
      <c r="A25" s="144">
        <v>5</v>
      </c>
      <c r="B25" s="126"/>
      <c r="C25" s="510"/>
      <c r="D25" s="126"/>
      <c r="E25" s="140" t="s">
        <v>244</v>
      </c>
      <c r="F25" s="510"/>
      <c r="G25" s="409">
        <f>+G27+G30+G33+G36</f>
        <v>2045134.9</v>
      </c>
    </row>
    <row r="26" spans="1:7" ht="15" x14ac:dyDescent="0.25">
      <c r="A26" s="144"/>
      <c r="B26" s="126"/>
      <c r="C26" s="510"/>
      <c r="D26" s="126"/>
      <c r="E26" s="140"/>
      <c r="F26" s="510"/>
      <c r="G26" s="409"/>
    </row>
    <row r="27" spans="1:7" ht="15" x14ac:dyDescent="0.25">
      <c r="A27" s="144">
        <v>5</v>
      </c>
      <c r="B27" s="126">
        <v>1</v>
      </c>
      <c r="C27" s="510"/>
      <c r="D27" s="126"/>
      <c r="E27" s="140" t="s">
        <v>245</v>
      </c>
      <c r="F27" s="510">
        <v>9995</v>
      </c>
      <c r="G27" s="409">
        <f>+G28</f>
        <v>119575</v>
      </c>
    </row>
    <row r="28" spans="1:7" ht="14.25" x14ac:dyDescent="0.2">
      <c r="A28" s="144">
        <v>5</v>
      </c>
      <c r="B28" s="126">
        <v>1</v>
      </c>
      <c r="C28" s="510">
        <v>1</v>
      </c>
      <c r="D28" s="126" t="s">
        <v>246</v>
      </c>
      <c r="E28" s="141" t="s">
        <v>247</v>
      </c>
      <c r="F28" s="510"/>
      <c r="G28" s="411">
        <f>+'relacion ingresos'!F13+'relacion ingresos'!F15+'relacion ingresos'!F26+'relacion ingresos'!F27+'relacion ingresos'!F28+'relacion ingresos'!F29+'relacion ingresos'!F30</f>
        <v>119575</v>
      </c>
    </row>
    <row r="29" spans="1:7" x14ac:dyDescent="0.2">
      <c r="A29" s="145"/>
      <c r="B29" s="135"/>
      <c r="C29" s="11"/>
      <c r="D29" s="135"/>
      <c r="E29" s="135"/>
      <c r="F29" s="11"/>
      <c r="G29" s="525"/>
    </row>
    <row r="30" spans="1:7" ht="15" x14ac:dyDescent="0.25">
      <c r="A30" s="144">
        <v>5</v>
      </c>
      <c r="B30" s="126">
        <v>1</v>
      </c>
      <c r="C30" s="510"/>
      <c r="D30" s="126"/>
      <c r="E30" s="140" t="s">
        <v>248</v>
      </c>
      <c r="F30" s="510">
        <v>9995</v>
      </c>
      <c r="G30" s="409">
        <f>+G31</f>
        <v>836375</v>
      </c>
    </row>
    <row r="31" spans="1:7" ht="14.25" x14ac:dyDescent="0.2">
      <c r="A31" s="144">
        <v>5</v>
      </c>
      <c r="B31" s="126">
        <v>1</v>
      </c>
      <c r="C31" s="510">
        <v>2</v>
      </c>
      <c r="D31" s="126" t="s">
        <v>249</v>
      </c>
      <c r="E31" s="141" t="s">
        <v>247</v>
      </c>
      <c r="F31" s="510">
        <v>9995</v>
      </c>
      <c r="G31" s="411">
        <f>+'relacion ingresos'!F12+'relacion ingresos'!F14+'relacion ingresos'!F18+'relacion ingresos'!F23</f>
        <v>836375</v>
      </c>
    </row>
    <row r="32" spans="1:7" x14ac:dyDescent="0.2">
      <c r="A32" s="145"/>
      <c r="B32" s="135"/>
      <c r="C32" s="11"/>
      <c r="D32" s="135"/>
      <c r="E32" s="135"/>
      <c r="F32" s="11"/>
      <c r="G32" s="525"/>
    </row>
    <row r="33" spans="1:8" ht="15" x14ac:dyDescent="0.25">
      <c r="A33" s="144">
        <v>6</v>
      </c>
      <c r="B33" s="126">
        <v>1</v>
      </c>
      <c r="C33" s="510"/>
      <c r="D33" s="126"/>
      <c r="E33" s="140" t="s">
        <v>250</v>
      </c>
      <c r="F33" s="510">
        <v>9995</v>
      </c>
      <c r="G33" s="409">
        <f>+G34</f>
        <v>631570</v>
      </c>
    </row>
    <row r="34" spans="1:8" ht="14.25" x14ac:dyDescent="0.2">
      <c r="A34" s="144"/>
      <c r="B34" s="126"/>
      <c r="C34" s="510"/>
      <c r="D34" s="126"/>
      <c r="E34" s="141" t="s">
        <v>251</v>
      </c>
      <c r="F34" s="510">
        <v>9995</v>
      </c>
      <c r="G34" s="411">
        <f>+'relacion ingresos'!F6+'relacion ingresos'!F7+'relacion ingresos'!F8+'relacion ingresos'!F24+'relacion ingresos'!F25</f>
        <v>631570</v>
      </c>
    </row>
    <row r="35" spans="1:8" x14ac:dyDescent="0.2">
      <c r="A35" s="145"/>
      <c r="B35" s="135"/>
      <c r="C35" s="11"/>
      <c r="D35" s="135"/>
      <c r="E35" s="135"/>
      <c r="F35" s="11"/>
      <c r="G35" s="525"/>
    </row>
    <row r="36" spans="1:8" ht="15" x14ac:dyDescent="0.25">
      <c r="A36" s="144">
        <v>6</v>
      </c>
      <c r="B36" s="126"/>
      <c r="C36" s="510"/>
      <c r="D36" s="126"/>
      <c r="E36" s="140" t="s">
        <v>244</v>
      </c>
      <c r="F36" s="510">
        <v>9995</v>
      </c>
      <c r="G36" s="409">
        <f>+G37</f>
        <v>457614.9</v>
      </c>
    </row>
    <row r="37" spans="1:8" ht="14.25" x14ac:dyDescent="0.2">
      <c r="A37" s="144">
        <v>6</v>
      </c>
      <c r="B37" s="126">
        <v>4</v>
      </c>
      <c r="C37" s="510">
        <v>1</v>
      </c>
      <c r="D37" s="126"/>
      <c r="E37" s="141" t="s">
        <v>252</v>
      </c>
      <c r="F37" s="510">
        <v>9995</v>
      </c>
      <c r="G37" s="411">
        <f>+'relacion ingresos'!F11+'relacion ingresos'!F16+'relacion ingresos'!F20+'relacion ingresos'!F21+'relacion ingresos'!F32+'relacion ingresos'!F33+'relacion ingresos'!F34+'relacion ingresos'!F35</f>
        <v>457614.9</v>
      </c>
    </row>
    <row r="38" spans="1:8" ht="14.25" x14ac:dyDescent="0.2">
      <c r="A38" s="144"/>
      <c r="B38" s="126"/>
      <c r="C38" s="510"/>
      <c r="D38" s="126"/>
      <c r="E38" s="141"/>
      <c r="F38" s="510"/>
      <c r="G38" s="411"/>
    </row>
    <row r="39" spans="1:8" ht="15" x14ac:dyDescent="0.25">
      <c r="A39" s="144"/>
      <c r="B39" s="126"/>
      <c r="C39" s="510"/>
      <c r="D39" s="126"/>
      <c r="E39" s="140" t="s">
        <v>177</v>
      </c>
      <c r="F39" s="146"/>
      <c r="G39" s="409">
        <f>+G25+G21+G13</f>
        <v>10815030.09</v>
      </c>
      <c r="H39" s="44"/>
    </row>
    <row r="40" spans="1:8" ht="15" x14ac:dyDescent="0.25">
      <c r="A40" s="144"/>
      <c r="B40" s="126"/>
      <c r="C40" s="510"/>
      <c r="D40" s="126"/>
      <c r="E40" s="140"/>
      <c r="F40" s="146"/>
      <c r="G40" s="409"/>
      <c r="H40" s="44"/>
    </row>
    <row r="41" spans="1:8" ht="15" x14ac:dyDescent="0.25">
      <c r="A41" s="144">
        <v>3</v>
      </c>
      <c r="B41" s="126"/>
      <c r="C41" s="510"/>
      <c r="D41" s="126"/>
      <c r="E41" s="140" t="s">
        <v>253</v>
      </c>
      <c r="F41" s="146"/>
      <c r="G41" s="409">
        <f>+G42</f>
        <v>1127652.43</v>
      </c>
      <c r="H41" s="44"/>
    </row>
    <row r="42" spans="1:8" ht="14.25" x14ac:dyDescent="0.2">
      <c r="A42" s="144">
        <v>3</v>
      </c>
      <c r="B42" s="126">
        <v>2</v>
      </c>
      <c r="C42" s="510"/>
      <c r="D42" s="126"/>
      <c r="E42" s="257" t="s">
        <v>253</v>
      </c>
      <c r="F42" s="146"/>
      <c r="G42" s="411">
        <v>1127652.43</v>
      </c>
      <c r="H42" s="44"/>
    </row>
    <row r="43" spans="1:8" ht="14.25" x14ac:dyDescent="0.2">
      <c r="A43" s="144">
        <v>3</v>
      </c>
      <c r="B43" s="126">
        <v>2</v>
      </c>
      <c r="C43" s="510">
        <v>1</v>
      </c>
      <c r="D43" s="126"/>
      <c r="E43" s="257" t="s">
        <v>253</v>
      </c>
      <c r="F43" s="146"/>
      <c r="G43" s="411">
        <f>+G42</f>
        <v>1127652.43</v>
      </c>
      <c r="H43" s="44"/>
    </row>
    <row r="44" spans="1:8" ht="15.75" thickBot="1" x14ac:dyDescent="0.3">
      <c r="A44" s="144"/>
      <c r="B44" s="126"/>
      <c r="C44" s="510"/>
      <c r="D44" s="126"/>
      <c r="E44" s="140"/>
      <c r="F44" s="146"/>
      <c r="G44" s="409"/>
      <c r="H44" s="44"/>
    </row>
    <row r="45" spans="1:8" ht="16.5" thickBot="1" x14ac:dyDescent="0.3">
      <c r="A45" s="39"/>
      <c r="B45" s="40"/>
      <c r="C45" s="39"/>
      <c r="D45" s="40"/>
      <c r="E45" s="41" t="s">
        <v>95</v>
      </c>
      <c r="F45" s="42"/>
      <c r="G45" s="412">
        <f>+G39+G41</f>
        <v>11942682.52</v>
      </c>
    </row>
    <row r="46" spans="1:8" ht="16.5" thickTop="1" x14ac:dyDescent="0.25">
      <c r="A46" s="11"/>
      <c r="B46" s="11"/>
      <c r="C46" s="11"/>
      <c r="D46" s="11"/>
      <c r="E46" s="36"/>
      <c r="F46" s="2"/>
      <c r="G46" s="147"/>
    </row>
    <row r="47" spans="1:8" x14ac:dyDescent="0.2">
      <c r="A47" s="34" t="s">
        <v>254</v>
      </c>
      <c r="B47" s="34"/>
      <c r="C47" s="34"/>
      <c r="D47" s="34"/>
      <c r="E47" s="58" t="s">
        <v>255</v>
      </c>
      <c r="F47" s="34"/>
      <c r="G47" s="34"/>
    </row>
    <row r="48" spans="1:8" x14ac:dyDescent="0.2">
      <c r="B48" s="511" t="s">
        <v>256</v>
      </c>
      <c r="E48" s="511" t="s">
        <v>257</v>
      </c>
      <c r="F48" s="35"/>
      <c r="G48" s="35"/>
    </row>
  </sheetData>
  <mergeCells count="5">
    <mergeCell ref="A1:G1"/>
    <mergeCell ref="A9:C9"/>
    <mergeCell ref="E9:E10"/>
    <mergeCell ref="F9:F10"/>
    <mergeCell ref="A10:C10"/>
  </mergeCells>
  <phoneticPr fontId="2" type="noConversion"/>
  <pageMargins left="0.17" right="0.18" top="1.26" bottom="0.66" header="0" footer="0"/>
  <pageSetup paperSize="9" scale="95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9"/>
  <sheetViews>
    <sheetView topLeftCell="H235" workbookViewId="0">
      <selection activeCell="R244" sqref="R244"/>
    </sheetView>
  </sheetViews>
  <sheetFormatPr baseColWidth="10" defaultColWidth="9.140625" defaultRowHeight="12.75" x14ac:dyDescent="0.2"/>
  <cols>
    <col min="1" max="1" width="5.5703125" customWidth="1"/>
    <col min="2" max="2" width="6.140625" customWidth="1"/>
    <col min="3" max="3" width="6.28515625" customWidth="1"/>
    <col min="4" max="4" width="4.7109375" customWidth="1"/>
    <col min="5" max="5" width="12" customWidth="1"/>
    <col min="6" max="6" width="7.5703125" customWidth="1"/>
    <col min="7" max="7" width="6.7109375" bestFit="1" customWidth="1"/>
    <col min="8" max="8" width="4" customWidth="1"/>
    <col min="9" max="9" width="4.85546875" customWidth="1"/>
    <col min="10" max="11" width="3.7109375" customWidth="1"/>
    <col min="12" max="13" width="5" customWidth="1"/>
    <col min="14" max="14" width="61" customWidth="1"/>
    <col min="15" max="15" width="17" customWidth="1"/>
    <col min="16" max="16" width="18.7109375" customWidth="1"/>
    <col min="17" max="17" width="18.140625" bestFit="1" customWidth="1"/>
    <col min="18" max="18" width="15.140625" customWidth="1"/>
    <col min="19" max="19" width="13.7109375" customWidth="1"/>
    <col min="20" max="20" width="16" bestFit="1" customWidth="1"/>
    <col min="21" max="256" width="11.42578125" customWidth="1"/>
  </cols>
  <sheetData>
    <row r="1" spans="1:17" ht="17.25" thickBot="1" x14ac:dyDescent="0.3">
      <c r="A1" s="585">
        <v>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7"/>
    </row>
    <row r="2" spans="1:17" ht="15.75" x14ac:dyDescent="0.25">
      <c r="A2" s="568" t="s">
        <v>0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70"/>
    </row>
    <row r="3" spans="1:17" ht="15" x14ac:dyDescent="0.2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63" t="s">
        <v>1</v>
      </c>
    </row>
    <row r="4" spans="1:17" ht="15.75" x14ac:dyDescent="0.25">
      <c r="A4" s="64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/>
      <c r="P4" s="66" t="s">
        <v>3</v>
      </c>
      <c r="Q4" s="67"/>
    </row>
    <row r="5" spans="1:17" ht="15.75" x14ac:dyDescent="0.25">
      <c r="A5" s="64" t="s">
        <v>4</v>
      </c>
      <c r="B5" s="61"/>
      <c r="C5" s="61">
        <v>5120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8"/>
      <c r="P5" s="69" t="s">
        <v>5</v>
      </c>
      <c r="Q5" s="70"/>
    </row>
    <row r="6" spans="1:17" ht="15.75" x14ac:dyDescent="0.25">
      <c r="A6" s="64" t="s">
        <v>6</v>
      </c>
      <c r="B6" s="68"/>
      <c r="C6" s="68" t="s">
        <v>7</v>
      </c>
      <c r="D6" s="68"/>
      <c r="E6" s="68"/>
      <c r="F6" s="61"/>
      <c r="G6" s="61"/>
      <c r="H6" s="61"/>
      <c r="I6" s="61"/>
      <c r="J6" s="61"/>
      <c r="K6" s="61"/>
      <c r="L6" s="61"/>
      <c r="M6" s="61"/>
      <c r="N6" s="61"/>
      <c r="O6" s="68"/>
      <c r="P6" s="69" t="s">
        <v>8</v>
      </c>
      <c r="Q6" s="70"/>
    </row>
    <row r="7" spans="1:17" ht="15.75" x14ac:dyDescent="0.25">
      <c r="A7" s="64" t="s">
        <v>9</v>
      </c>
      <c r="B7" s="68">
        <v>2016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8"/>
      <c r="P7" s="71" t="s">
        <v>10</v>
      </c>
      <c r="Q7" s="72"/>
    </row>
    <row r="8" spans="1:17" ht="16.5" thickBot="1" x14ac:dyDescent="0.3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Q8" s="76"/>
    </row>
    <row r="9" spans="1:17" ht="15.75" x14ac:dyDescent="0.25">
      <c r="A9" s="550" t="s">
        <v>11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2"/>
      <c r="M9" s="493"/>
      <c r="N9" s="493"/>
      <c r="O9" s="553" t="s">
        <v>12</v>
      </c>
      <c r="P9" s="551"/>
      <c r="Q9" s="554"/>
    </row>
    <row r="10" spans="1:17" ht="15.75" x14ac:dyDescent="0.25">
      <c r="A10" s="501"/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5"/>
      <c r="M10" s="502"/>
      <c r="N10" s="502"/>
      <c r="O10" s="77"/>
      <c r="P10" s="502"/>
      <c r="Q10" s="503"/>
    </row>
    <row r="11" spans="1:17" ht="15.75" x14ac:dyDescent="0.25">
      <c r="A11" s="555">
        <v>2</v>
      </c>
      <c r="B11" s="556"/>
      <c r="C11" s="556"/>
      <c r="D11" s="556"/>
      <c r="E11" s="556"/>
      <c r="F11" s="556"/>
      <c r="G11" s="557"/>
      <c r="H11" s="78" t="s">
        <v>13</v>
      </c>
      <c r="I11" s="79"/>
      <c r="J11" s="79"/>
      <c r="K11" s="79"/>
      <c r="L11" s="79"/>
      <c r="M11" s="79"/>
      <c r="N11" s="79"/>
      <c r="O11" s="80" t="s">
        <v>14</v>
      </c>
      <c r="P11" s="80" t="s">
        <v>15</v>
      </c>
      <c r="Q11" s="84" t="s">
        <v>16</v>
      </c>
    </row>
    <row r="12" spans="1:17" ht="15.75" x14ac:dyDescent="0.25">
      <c r="A12" s="558" t="s">
        <v>17</v>
      </c>
      <c r="B12" s="494" t="s">
        <v>18</v>
      </c>
      <c r="C12" s="560" t="s">
        <v>19</v>
      </c>
      <c r="D12" s="494" t="s">
        <v>20</v>
      </c>
      <c r="E12" s="494" t="s">
        <v>21</v>
      </c>
      <c r="F12" s="562" t="s">
        <v>22</v>
      </c>
      <c r="G12" s="560" t="s">
        <v>23</v>
      </c>
      <c r="H12" s="560" t="s">
        <v>24</v>
      </c>
      <c r="I12" s="560" t="s">
        <v>25</v>
      </c>
      <c r="J12" s="494"/>
      <c r="K12" s="494" t="s">
        <v>18</v>
      </c>
      <c r="L12" s="494"/>
      <c r="M12" s="494"/>
      <c r="N12" s="494"/>
      <c r="O12" s="564">
        <v>3</v>
      </c>
      <c r="P12" s="564">
        <v>4</v>
      </c>
      <c r="Q12" s="566">
        <v>5</v>
      </c>
    </row>
    <row r="13" spans="1:17" ht="15.75" x14ac:dyDescent="0.25">
      <c r="A13" s="583"/>
      <c r="B13" s="495" t="s">
        <v>17</v>
      </c>
      <c r="C13" s="574"/>
      <c r="D13" s="495" t="s">
        <v>26</v>
      </c>
      <c r="E13" s="495" t="s">
        <v>27</v>
      </c>
      <c r="F13" s="584"/>
      <c r="G13" s="574"/>
      <c r="H13" s="574"/>
      <c r="I13" s="574"/>
      <c r="J13" s="495" t="s">
        <v>28</v>
      </c>
      <c r="K13" s="495" t="s">
        <v>28</v>
      </c>
      <c r="L13" s="495" t="s">
        <v>29</v>
      </c>
      <c r="M13" s="495" t="s">
        <v>29</v>
      </c>
      <c r="N13" s="495" t="s">
        <v>30</v>
      </c>
      <c r="O13" s="575"/>
      <c r="P13" s="575"/>
      <c r="Q13" s="576"/>
    </row>
    <row r="14" spans="1:17" ht="17.25" thickBot="1" x14ac:dyDescent="0.3">
      <c r="A14" s="577">
        <v>2</v>
      </c>
      <c r="B14" s="578"/>
      <c r="C14" s="578"/>
      <c r="D14" s="578"/>
      <c r="E14" s="578"/>
      <c r="F14" s="578"/>
      <c r="G14" s="579"/>
      <c r="H14" s="151" t="s">
        <v>13</v>
      </c>
      <c r="I14" s="152"/>
      <c r="J14" s="152"/>
      <c r="K14" s="152"/>
      <c r="L14" s="153"/>
      <c r="M14" s="153"/>
      <c r="N14" s="153"/>
      <c r="O14" s="154" t="s">
        <v>14</v>
      </c>
      <c r="P14" s="154" t="s">
        <v>15</v>
      </c>
      <c r="Q14" s="155" t="s">
        <v>16</v>
      </c>
    </row>
    <row r="15" spans="1:17" ht="16.5" x14ac:dyDescent="0.25">
      <c r="A15" s="116"/>
      <c r="B15" s="86"/>
      <c r="C15" s="116"/>
      <c r="D15" s="86"/>
      <c r="E15" s="116"/>
      <c r="F15" s="86"/>
      <c r="G15" s="448"/>
      <c r="H15" s="449"/>
      <c r="I15" s="448"/>
      <c r="J15" s="450"/>
      <c r="K15" s="449"/>
      <c r="L15" s="451"/>
      <c r="M15" s="448"/>
      <c r="N15" s="449"/>
      <c r="O15" s="296"/>
      <c r="P15" s="297"/>
      <c r="Q15" s="296"/>
    </row>
    <row r="16" spans="1:17" ht="16.5" x14ac:dyDescent="0.25">
      <c r="A16" s="113">
        <v>11</v>
      </c>
      <c r="B16" s="85" t="s">
        <v>31</v>
      </c>
      <c r="C16" s="113" t="s">
        <v>31</v>
      </c>
      <c r="D16" s="166">
        <v>0.1</v>
      </c>
      <c r="E16" s="113" t="s">
        <v>32</v>
      </c>
      <c r="F16" s="85"/>
      <c r="G16" s="452"/>
      <c r="H16" s="418">
        <v>2</v>
      </c>
      <c r="I16" s="417">
        <v>1</v>
      </c>
      <c r="J16" s="453"/>
      <c r="K16" s="418"/>
      <c r="L16" s="454"/>
      <c r="M16" s="417"/>
      <c r="N16" s="418" t="s">
        <v>33</v>
      </c>
      <c r="O16" s="292">
        <f>+P16-Q16</f>
        <v>356861.79000000004</v>
      </c>
      <c r="P16" s="291">
        <f>+P18+P24+P30+P33</f>
        <v>2959951.2099999995</v>
      </c>
      <c r="Q16" s="292">
        <f>+Q18+Q24+Q30</f>
        <v>2603089.4199999995</v>
      </c>
    </row>
    <row r="17" spans="1:17" ht="16.5" x14ac:dyDescent="0.25">
      <c r="A17" s="113"/>
      <c r="B17" s="85"/>
      <c r="C17" s="113"/>
      <c r="D17" s="85"/>
      <c r="E17" s="113"/>
      <c r="F17" s="85"/>
      <c r="G17" s="452"/>
      <c r="H17" s="418"/>
      <c r="I17" s="417"/>
      <c r="J17" s="453"/>
      <c r="K17" s="418"/>
      <c r="L17" s="454"/>
      <c r="M17" s="417"/>
      <c r="N17" s="418"/>
      <c r="O17" s="276"/>
      <c r="P17" s="290"/>
      <c r="Q17" s="276"/>
    </row>
    <row r="18" spans="1:17" ht="16.5" x14ac:dyDescent="0.25">
      <c r="A18" s="113"/>
      <c r="B18" s="85" t="s">
        <v>31</v>
      </c>
      <c r="C18" s="113" t="s">
        <v>31</v>
      </c>
      <c r="D18" s="85"/>
      <c r="E18" s="113" t="s">
        <v>32</v>
      </c>
      <c r="F18" s="85" t="s">
        <v>34</v>
      </c>
      <c r="G18" s="452"/>
      <c r="H18" s="418">
        <v>2</v>
      </c>
      <c r="I18" s="417">
        <v>1</v>
      </c>
      <c r="J18" s="453">
        <v>1</v>
      </c>
      <c r="K18" s="418"/>
      <c r="L18" s="454"/>
      <c r="M18" s="417"/>
      <c r="N18" s="418" t="s">
        <v>35</v>
      </c>
      <c r="O18" s="292"/>
      <c r="P18" s="291">
        <f>+P19+P20+P21+P22</f>
        <v>2583567.9199999995</v>
      </c>
      <c r="Q18" s="292">
        <f>+Q19+Q20+Q21+Q22</f>
        <v>2497458.7099999995</v>
      </c>
    </row>
    <row r="19" spans="1:17" ht="16.5" x14ac:dyDescent="0.25">
      <c r="A19" s="113"/>
      <c r="B19" s="85"/>
      <c r="C19" s="113"/>
      <c r="D19" s="85"/>
      <c r="E19" s="113"/>
      <c r="F19" s="85"/>
      <c r="G19" s="440">
        <v>100</v>
      </c>
      <c r="H19" s="446">
        <v>2</v>
      </c>
      <c r="I19" s="445">
        <v>1</v>
      </c>
      <c r="J19" s="455">
        <v>1</v>
      </c>
      <c r="K19" s="446">
        <v>1</v>
      </c>
      <c r="L19" s="306">
        <v>0</v>
      </c>
      <c r="M19" s="445">
        <v>1</v>
      </c>
      <c r="N19" s="446" t="s">
        <v>36</v>
      </c>
      <c r="O19" s="276"/>
      <c r="P19" s="290">
        <f>1624400+179455</f>
        <v>1803855</v>
      </c>
      <c r="Q19" s="276">
        <f>1624400+179455</f>
        <v>1803855</v>
      </c>
    </row>
    <row r="20" spans="1:17" ht="16.5" x14ac:dyDescent="0.25">
      <c r="A20" s="113"/>
      <c r="B20" s="85"/>
      <c r="C20" s="113"/>
      <c r="D20" s="85"/>
      <c r="E20" s="113"/>
      <c r="F20" s="85"/>
      <c r="G20" s="440">
        <v>100</v>
      </c>
      <c r="H20" s="446">
        <v>2</v>
      </c>
      <c r="I20" s="445">
        <v>1</v>
      </c>
      <c r="J20" s="455">
        <v>1</v>
      </c>
      <c r="K20" s="446">
        <v>2</v>
      </c>
      <c r="L20" s="306">
        <v>0</v>
      </c>
      <c r="M20" s="445">
        <v>1</v>
      </c>
      <c r="N20" s="446" t="s">
        <v>37</v>
      </c>
      <c r="O20" s="276"/>
      <c r="P20" s="482">
        <f>30000+30000+30000+30000+30000+488500+8870.97</f>
        <v>647370.97</v>
      </c>
      <c r="Q20" s="294">
        <f>27000+27000+27000+27000+27000+418277.89+7983.87</f>
        <v>561261.76</v>
      </c>
    </row>
    <row r="21" spans="1:17" ht="16.5" x14ac:dyDescent="0.25">
      <c r="A21" s="113"/>
      <c r="B21" s="85"/>
      <c r="C21" s="113"/>
      <c r="D21" s="85"/>
      <c r="E21" s="113"/>
      <c r="F21" s="85"/>
      <c r="G21" s="440">
        <v>9995</v>
      </c>
      <c r="H21" s="446">
        <v>2</v>
      </c>
      <c r="I21" s="445">
        <v>1</v>
      </c>
      <c r="J21" s="455">
        <v>1</v>
      </c>
      <c r="K21" s="446">
        <v>5</v>
      </c>
      <c r="L21" s="306">
        <v>0</v>
      </c>
      <c r="M21" s="445">
        <v>1</v>
      </c>
      <c r="N21" s="446" t="s">
        <v>38</v>
      </c>
      <c r="O21" s="276"/>
      <c r="P21" s="290">
        <v>126804.34</v>
      </c>
      <c r="Q21" s="276">
        <v>126804.34</v>
      </c>
    </row>
    <row r="22" spans="1:17" ht="16.5" x14ac:dyDescent="0.25">
      <c r="A22" s="113"/>
      <c r="B22" s="85"/>
      <c r="C22" s="113"/>
      <c r="D22" s="85"/>
      <c r="E22" s="113"/>
      <c r="F22" s="85"/>
      <c r="G22" s="440">
        <v>9995</v>
      </c>
      <c r="H22" s="446">
        <v>2</v>
      </c>
      <c r="I22" s="445">
        <v>1</v>
      </c>
      <c r="J22" s="455">
        <v>1</v>
      </c>
      <c r="K22" s="446">
        <v>5</v>
      </c>
      <c r="L22" s="306">
        <v>0</v>
      </c>
      <c r="M22" s="445">
        <v>4</v>
      </c>
      <c r="N22" s="446" t="s">
        <v>39</v>
      </c>
      <c r="O22" s="276"/>
      <c r="P22" s="290">
        <v>5537.61</v>
      </c>
      <c r="Q22" s="276">
        <v>5537.61</v>
      </c>
    </row>
    <row r="23" spans="1:17" ht="16.5" x14ac:dyDescent="0.25">
      <c r="A23" s="113"/>
      <c r="B23" s="85"/>
      <c r="C23" s="113"/>
      <c r="D23" s="85"/>
      <c r="E23" s="113"/>
      <c r="F23" s="85"/>
      <c r="G23" s="440"/>
      <c r="H23" s="446"/>
      <c r="I23" s="445"/>
      <c r="J23" s="455"/>
      <c r="K23" s="446"/>
      <c r="L23" s="306"/>
      <c r="M23" s="445"/>
      <c r="N23" s="446"/>
      <c r="O23" s="276"/>
      <c r="P23" s="290"/>
      <c r="Q23" s="276"/>
    </row>
    <row r="24" spans="1:17" ht="16.5" x14ac:dyDescent="0.25">
      <c r="A24" s="112"/>
      <c r="B24" s="85" t="s">
        <v>31</v>
      </c>
      <c r="C24" s="113" t="s">
        <v>31</v>
      </c>
      <c r="D24" s="85"/>
      <c r="E24" s="113" t="s">
        <v>32</v>
      </c>
      <c r="F24" s="85" t="s">
        <v>34</v>
      </c>
      <c r="G24" s="440"/>
      <c r="H24" s="418">
        <v>2</v>
      </c>
      <c r="I24" s="417">
        <v>1</v>
      </c>
      <c r="J24" s="453">
        <v>2</v>
      </c>
      <c r="K24" s="418"/>
      <c r="L24" s="454"/>
      <c r="M24" s="417"/>
      <c r="N24" s="418" t="s">
        <v>40</v>
      </c>
      <c r="O24" s="276"/>
      <c r="P24" s="291">
        <f>+P25+P26+P27+P28</f>
        <v>86968</v>
      </c>
      <c r="Q24" s="292">
        <f>+Q25+Q26+Q27+Q28</f>
        <v>79380.709999999992</v>
      </c>
    </row>
    <row r="25" spans="1:17" ht="16.5" x14ac:dyDescent="0.25">
      <c r="A25" s="112"/>
      <c r="B25" s="85"/>
      <c r="C25" s="113"/>
      <c r="D25" s="85"/>
      <c r="E25" s="113"/>
      <c r="F25" s="85"/>
      <c r="G25" s="440">
        <v>9995</v>
      </c>
      <c r="H25" s="446">
        <v>2</v>
      </c>
      <c r="I25" s="445">
        <v>1</v>
      </c>
      <c r="J25" s="455">
        <v>2</v>
      </c>
      <c r="K25" s="446">
        <v>2</v>
      </c>
      <c r="L25" s="306">
        <v>0</v>
      </c>
      <c r="M25" s="445">
        <v>1</v>
      </c>
      <c r="N25" s="446" t="s">
        <v>41</v>
      </c>
      <c r="O25" s="276"/>
      <c r="P25" s="290">
        <v>12500</v>
      </c>
      <c r="Q25" s="276">
        <v>12500</v>
      </c>
    </row>
    <row r="26" spans="1:17" ht="16.5" x14ac:dyDescent="0.25">
      <c r="A26" s="112"/>
      <c r="B26" s="90"/>
      <c r="C26" s="112"/>
      <c r="D26" s="90"/>
      <c r="E26" s="112"/>
      <c r="F26" s="90"/>
      <c r="G26" s="440">
        <v>9995</v>
      </c>
      <c r="H26" s="446">
        <v>2</v>
      </c>
      <c r="I26" s="445">
        <v>1</v>
      </c>
      <c r="J26" s="455">
        <v>2</v>
      </c>
      <c r="K26" s="446">
        <v>2</v>
      </c>
      <c r="L26" s="306">
        <v>0</v>
      </c>
      <c r="M26" s="445">
        <v>2</v>
      </c>
      <c r="N26" s="446" t="s">
        <v>42</v>
      </c>
      <c r="O26" s="276"/>
      <c r="P26" s="290">
        <v>28168</v>
      </c>
      <c r="Q26" s="276">
        <v>28168</v>
      </c>
    </row>
    <row r="27" spans="1:17" ht="16.5" x14ac:dyDescent="0.25">
      <c r="A27" s="112"/>
      <c r="B27" s="90"/>
      <c r="C27" s="112"/>
      <c r="D27" s="90"/>
      <c r="E27" s="112"/>
      <c r="F27" s="90"/>
      <c r="G27" s="440">
        <v>9995</v>
      </c>
      <c r="H27" s="446">
        <v>2</v>
      </c>
      <c r="I27" s="445">
        <v>1</v>
      </c>
      <c r="J27" s="455">
        <v>2</v>
      </c>
      <c r="K27" s="446">
        <v>2</v>
      </c>
      <c r="L27" s="306">
        <v>0</v>
      </c>
      <c r="M27" s="445">
        <v>4</v>
      </c>
      <c r="N27" s="446" t="s">
        <v>43</v>
      </c>
      <c r="O27" s="276"/>
      <c r="P27" s="290">
        <v>2300</v>
      </c>
      <c r="Q27" s="276">
        <v>2300</v>
      </c>
    </row>
    <row r="28" spans="1:17" ht="16.5" x14ac:dyDescent="0.25">
      <c r="A28" s="112"/>
      <c r="B28" s="90"/>
      <c r="C28" s="112"/>
      <c r="D28" s="90"/>
      <c r="E28" s="112"/>
      <c r="F28" s="90"/>
      <c r="G28" s="440">
        <v>9995</v>
      </c>
      <c r="H28" s="446">
        <v>2</v>
      </c>
      <c r="I28" s="445">
        <v>1</v>
      </c>
      <c r="J28" s="455">
        <v>2</v>
      </c>
      <c r="K28" s="446">
        <v>2</v>
      </c>
      <c r="L28" s="306">
        <v>0</v>
      </c>
      <c r="M28" s="445">
        <v>8</v>
      </c>
      <c r="N28" s="446" t="s">
        <v>44</v>
      </c>
      <c r="O28" s="276"/>
      <c r="P28" s="482">
        <f>2500+3000+8500+30000</f>
        <v>44000</v>
      </c>
      <c r="Q28" s="294">
        <f>2250+2700+6374.99+25087.72</f>
        <v>36412.71</v>
      </c>
    </row>
    <row r="29" spans="1:17" ht="16.5" x14ac:dyDescent="0.25">
      <c r="A29" s="112"/>
      <c r="B29" s="90"/>
      <c r="C29" s="112"/>
      <c r="D29" s="90"/>
      <c r="E29" s="112"/>
      <c r="F29" s="90"/>
      <c r="G29" s="440"/>
      <c r="H29" s="446"/>
      <c r="I29" s="445"/>
      <c r="J29" s="455"/>
      <c r="K29" s="446"/>
      <c r="L29" s="306"/>
      <c r="M29" s="445"/>
      <c r="N29" s="446"/>
      <c r="O29" s="276"/>
      <c r="P29" s="290"/>
      <c r="Q29" s="276"/>
    </row>
    <row r="30" spans="1:17" ht="16.5" x14ac:dyDescent="0.25">
      <c r="A30" s="112"/>
      <c r="B30" s="90"/>
      <c r="C30" s="112"/>
      <c r="D30" s="90"/>
      <c r="E30" s="112"/>
      <c r="F30" s="90"/>
      <c r="G30" s="440"/>
      <c r="H30" s="418">
        <v>2</v>
      </c>
      <c r="I30" s="417">
        <v>1</v>
      </c>
      <c r="J30" s="453">
        <v>3</v>
      </c>
      <c r="K30" s="418"/>
      <c r="L30" s="454"/>
      <c r="M30" s="417"/>
      <c r="N30" s="418" t="s">
        <v>45</v>
      </c>
      <c r="O30" s="292"/>
      <c r="P30" s="291">
        <f>+P31</f>
        <v>26250</v>
      </c>
      <c r="Q30" s="292">
        <f>+Q31</f>
        <v>26250</v>
      </c>
    </row>
    <row r="31" spans="1:17" ht="16.5" x14ac:dyDescent="0.25">
      <c r="A31" s="112"/>
      <c r="B31" s="90"/>
      <c r="C31" s="112"/>
      <c r="D31" s="90"/>
      <c r="E31" s="112"/>
      <c r="F31" s="90"/>
      <c r="G31" s="440">
        <v>9995</v>
      </c>
      <c r="H31" s="446">
        <v>2</v>
      </c>
      <c r="I31" s="445">
        <v>1</v>
      </c>
      <c r="J31" s="455">
        <v>3</v>
      </c>
      <c r="K31" s="446">
        <v>2</v>
      </c>
      <c r="L31" s="306">
        <v>0</v>
      </c>
      <c r="M31" s="445">
        <v>1</v>
      </c>
      <c r="N31" s="446" t="s">
        <v>46</v>
      </c>
      <c r="O31" s="276"/>
      <c r="P31" s="290">
        <v>26250</v>
      </c>
      <c r="Q31" s="276">
        <v>26250</v>
      </c>
    </row>
    <row r="32" spans="1:17" ht="16.5" x14ac:dyDescent="0.25">
      <c r="A32" s="112"/>
      <c r="B32" s="90"/>
      <c r="C32" s="112"/>
      <c r="D32" s="90"/>
      <c r="E32" s="112"/>
      <c r="F32" s="90"/>
      <c r="G32" s="440"/>
      <c r="H32" s="446"/>
      <c r="I32" s="445"/>
      <c r="J32" s="455"/>
      <c r="K32" s="446"/>
      <c r="L32" s="306"/>
      <c r="M32" s="445"/>
      <c r="N32" s="446"/>
      <c r="O32" s="276"/>
      <c r="P32" s="290"/>
      <c r="Q32" s="276"/>
    </row>
    <row r="33" spans="1:17" ht="33" x14ac:dyDescent="0.25">
      <c r="A33" s="112"/>
      <c r="B33" s="85" t="s">
        <v>31</v>
      </c>
      <c r="C33" s="113" t="s">
        <v>31</v>
      </c>
      <c r="D33" s="85"/>
      <c r="E33" s="113" t="s">
        <v>32</v>
      </c>
      <c r="F33" s="85" t="s">
        <v>34</v>
      </c>
      <c r="G33" s="440"/>
      <c r="H33" s="418">
        <v>2</v>
      </c>
      <c r="I33" s="417">
        <v>1</v>
      </c>
      <c r="J33" s="453">
        <v>5</v>
      </c>
      <c r="K33" s="418"/>
      <c r="L33" s="454"/>
      <c r="M33" s="417"/>
      <c r="N33" s="473" t="s">
        <v>47</v>
      </c>
      <c r="O33" s="292"/>
      <c r="P33" s="291">
        <f>+P34+P35</f>
        <v>263165.28999999998</v>
      </c>
      <c r="Q33" s="292"/>
    </row>
    <row r="34" spans="1:17" ht="16.5" x14ac:dyDescent="0.25">
      <c r="A34" s="112"/>
      <c r="B34" s="90"/>
      <c r="C34" s="112"/>
      <c r="D34" s="90"/>
      <c r="E34" s="112"/>
      <c r="F34" s="90"/>
      <c r="G34" s="440">
        <v>100</v>
      </c>
      <c r="H34" s="446">
        <v>2</v>
      </c>
      <c r="I34" s="445">
        <v>1</v>
      </c>
      <c r="J34" s="455">
        <v>5</v>
      </c>
      <c r="K34" s="446">
        <v>2</v>
      </c>
      <c r="L34" s="306">
        <v>0</v>
      </c>
      <c r="M34" s="445">
        <v>1</v>
      </c>
      <c r="N34" s="446" t="s">
        <v>48</v>
      </c>
      <c r="O34" s="276"/>
      <c r="P34" s="290">
        <v>228254.71</v>
      </c>
      <c r="Q34" s="276"/>
    </row>
    <row r="35" spans="1:17" ht="16.5" x14ac:dyDescent="0.25">
      <c r="A35" s="112"/>
      <c r="B35" s="90"/>
      <c r="C35" s="112"/>
      <c r="D35" s="90"/>
      <c r="E35" s="112"/>
      <c r="F35" s="90"/>
      <c r="G35" s="440">
        <v>100</v>
      </c>
      <c r="H35" s="446">
        <v>2</v>
      </c>
      <c r="I35" s="445">
        <v>1</v>
      </c>
      <c r="J35" s="455">
        <v>5</v>
      </c>
      <c r="K35" s="446">
        <v>3</v>
      </c>
      <c r="L35" s="306">
        <v>0</v>
      </c>
      <c r="M35" s="445">
        <v>1</v>
      </c>
      <c r="N35" s="446" t="s">
        <v>49</v>
      </c>
      <c r="O35" s="276"/>
      <c r="P35" s="290">
        <v>34910.58</v>
      </c>
      <c r="Q35" s="276"/>
    </row>
    <row r="36" spans="1:17" ht="16.5" x14ac:dyDescent="0.25">
      <c r="A36" s="112"/>
      <c r="B36" s="90"/>
      <c r="C36" s="112"/>
      <c r="D36" s="90"/>
      <c r="E36" s="112"/>
      <c r="F36" s="90"/>
      <c r="G36" s="440"/>
      <c r="H36" s="446"/>
      <c r="I36" s="445"/>
      <c r="J36" s="455"/>
      <c r="K36" s="446"/>
      <c r="L36" s="306"/>
      <c r="M36" s="445"/>
      <c r="N36" s="446"/>
      <c r="O36" s="276"/>
      <c r="P36" s="290"/>
      <c r="Q36" s="276"/>
    </row>
    <row r="37" spans="1:17" ht="16.5" x14ac:dyDescent="0.25">
      <c r="A37" s="112"/>
      <c r="B37" s="85" t="s">
        <v>31</v>
      </c>
      <c r="C37" s="113" t="s">
        <v>31</v>
      </c>
      <c r="D37" s="85"/>
      <c r="E37" s="113" t="s">
        <v>32</v>
      </c>
      <c r="F37" s="85" t="s">
        <v>34</v>
      </c>
      <c r="G37" s="440"/>
      <c r="H37" s="418">
        <v>2</v>
      </c>
      <c r="I37" s="417">
        <v>2</v>
      </c>
      <c r="J37" s="453"/>
      <c r="K37" s="418"/>
      <c r="L37" s="454"/>
      <c r="M37" s="417"/>
      <c r="N37" s="418" t="s">
        <v>50</v>
      </c>
      <c r="O37" s="292">
        <f>+P37-Q37</f>
        <v>1507786.7000000004</v>
      </c>
      <c r="P37" s="291">
        <f>+P39+P48+P52+P55+P58+P62+P67+P70</f>
        <v>2451741.6900000004</v>
      </c>
      <c r="Q37" s="292">
        <f>+Q48+Q52+Q55+Q62+Q67+Q70+Q58</f>
        <v>943954.99</v>
      </c>
    </row>
    <row r="38" spans="1:17" ht="16.5" x14ac:dyDescent="0.25">
      <c r="A38" s="112"/>
      <c r="B38" s="90"/>
      <c r="C38" s="112"/>
      <c r="D38" s="90"/>
      <c r="E38" s="112"/>
      <c r="F38" s="90"/>
      <c r="G38" s="440"/>
      <c r="H38" s="418"/>
      <c r="I38" s="417"/>
      <c r="J38" s="453"/>
      <c r="K38" s="418"/>
      <c r="L38" s="454"/>
      <c r="M38" s="417"/>
      <c r="N38" s="418"/>
      <c r="O38" s="276"/>
      <c r="P38" s="290"/>
      <c r="Q38" s="276"/>
    </row>
    <row r="39" spans="1:17" ht="16.5" x14ac:dyDescent="0.25">
      <c r="A39" s="112"/>
      <c r="B39" s="85" t="s">
        <v>31</v>
      </c>
      <c r="C39" s="113" t="s">
        <v>31</v>
      </c>
      <c r="D39" s="85"/>
      <c r="E39" s="113" t="s">
        <v>32</v>
      </c>
      <c r="F39" s="85" t="s">
        <v>34</v>
      </c>
      <c r="G39" s="440"/>
      <c r="H39" s="418">
        <v>2</v>
      </c>
      <c r="I39" s="417">
        <v>2</v>
      </c>
      <c r="J39" s="453">
        <v>1</v>
      </c>
      <c r="K39" s="418"/>
      <c r="L39" s="454"/>
      <c r="M39" s="417"/>
      <c r="N39" s="418" t="s">
        <v>51</v>
      </c>
      <c r="O39" s="276"/>
      <c r="P39" s="291">
        <f>+P40+P41+P42+P43+P44+P45+P46</f>
        <v>1114064.1100000001</v>
      </c>
      <c r="Q39" s="292"/>
    </row>
    <row r="40" spans="1:17" ht="16.5" x14ac:dyDescent="0.25">
      <c r="A40" s="112"/>
      <c r="B40" s="90"/>
      <c r="C40" s="112"/>
      <c r="D40" s="90"/>
      <c r="E40" s="112"/>
      <c r="F40" s="90"/>
      <c r="G40" s="440">
        <v>100</v>
      </c>
      <c r="H40" s="446">
        <v>2</v>
      </c>
      <c r="I40" s="445">
        <v>2</v>
      </c>
      <c r="J40" s="455">
        <v>1</v>
      </c>
      <c r="K40" s="446">
        <v>2</v>
      </c>
      <c r="L40" s="306">
        <v>0</v>
      </c>
      <c r="M40" s="445">
        <v>1</v>
      </c>
      <c r="N40" s="446" t="s">
        <v>52</v>
      </c>
      <c r="O40" s="276"/>
      <c r="P40" s="290">
        <v>950.4</v>
      </c>
      <c r="Q40" s="276"/>
    </row>
    <row r="41" spans="1:17" ht="16.5" x14ac:dyDescent="0.25">
      <c r="A41" s="112"/>
      <c r="B41" s="90"/>
      <c r="C41" s="112"/>
      <c r="D41" s="90"/>
      <c r="E41" s="112"/>
      <c r="F41" s="90"/>
      <c r="G41" s="440">
        <v>100</v>
      </c>
      <c r="H41" s="446">
        <v>2</v>
      </c>
      <c r="I41" s="445">
        <v>2</v>
      </c>
      <c r="J41" s="455">
        <v>1</v>
      </c>
      <c r="K41" s="446">
        <v>3</v>
      </c>
      <c r="L41" s="306">
        <v>0</v>
      </c>
      <c r="M41" s="445">
        <v>1</v>
      </c>
      <c r="N41" s="446" t="s">
        <v>53</v>
      </c>
      <c r="O41" s="276"/>
      <c r="P41" s="290">
        <v>29494.959999999999</v>
      </c>
      <c r="Q41" s="276"/>
    </row>
    <row r="42" spans="1:17" ht="16.5" x14ac:dyDescent="0.25">
      <c r="A42" s="112"/>
      <c r="B42" s="90"/>
      <c r="C42" s="112"/>
      <c r="D42" s="90"/>
      <c r="E42" s="112"/>
      <c r="F42" s="90"/>
      <c r="G42" s="440">
        <v>100</v>
      </c>
      <c r="H42" s="446">
        <v>2</v>
      </c>
      <c r="I42" s="445">
        <v>2</v>
      </c>
      <c r="J42" s="455">
        <v>1</v>
      </c>
      <c r="K42" s="446">
        <v>4</v>
      </c>
      <c r="L42" s="306">
        <v>0</v>
      </c>
      <c r="M42" s="445">
        <v>1</v>
      </c>
      <c r="N42" s="446" t="s">
        <v>54</v>
      </c>
      <c r="O42" s="276"/>
      <c r="P42" s="290">
        <v>9059.92</v>
      </c>
      <c r="Q42" s="276"/>
    </row>
    <row r="43" spans="1:17" ht="16.5" x14ac:dyDescent="0.25">
      <c r="A43" s="112"/>
      <c r="B43" s="90"/>
      <c r="C43" s="112"/>
      <c r="D43" s="90"/>
      <c r="E43" s="112"/>
      <c r="F43" s="90"/>
      <c r="G43" s="440">
        <v>100</v>
      </c>
      <c r="H43" s="446">
        <v>2</v>
      </c>
      <c r="I43" s="445">
        <v>2</v>
      </c>
      <c r="J43" s="455">
        <v>1</v>
      </c>
      <c r="K43" s="446">
        <v>5</v>
      </c>
      <c r="L43" s="306">
        <v>0</v>
      </c>
      <c r="M43" s="445">
        <v>1</v>
      </c>
      <c r="N43" s="446" t="s">
        <v>55</v>
      </c>
      <c r="O43" s="276"/>
      <c r="P43" s="290">
        <v>10918.96</v>
      </c>
      <c r="Q43" s="276"/>
    </row>
    <row r="44" spans="1:17" ht="16.5" x14ac:dyDescent="0.25">
      <c r="A44" s="112"/>
      <c r="B44" s="90"/>
      <c r="C44" s="112"/>
      <c r="D44" s="90"/>
      <c r="E44" s="112"/>
      <c r="F44" s="90"/>
      <c r="G44" s="440">
        <v>100</v>
      </c>
      <c r="H44" s="446">
        <v>2</v>
      </c>
      <c r="I44" s="445">
        <v>2</v>
      </c>
      <c r="J44" s="455">
        <v>1</v>
      </c>
      <c r="K44" s="446">
        <v>6</v>
      </c>
      <c r="L44" s="306">
        <v>0</v>
      </c>
      <c r="M44" s="445">
        <v>1</v>
      </c>
      <c r="N44" s="446" t="s">
        <v>56</v>
      </c>
      <c r="O44" s="276"/>
      <c r="P44" s="290">
        <f>367796.58+684971.29</f>
        <v>1052767.8700000001</v>
      </c>
      <c r="Q44" s="293"/>
    </row>
    <row r="45" spans="1:17" ht="16.5" x14ac:dyDescent="0.25">
      <c r="A45" s="112"/>
      <c r="B45" s="90"/>
      <c r="C45" s="112"/>
      <c r="D45" s="90"/>
      <c r="E45" s="112"/>
      <c r="F45" s="90"/>
      <c r="G45" s="440">
        <v>100</v>
      </c>
      <c r="H45" s="446">
        <v>2</v>
      </c>
      <c r="I45" s="445">
        <v>2</v>
      </c>
      <c r="J45" s="455">
        <v>1</v>
      </c>
      <c r="K45" s="446">
        <v>7</v>
      </c>
      <c r="L45" s="306">
        <v>0</v>
      </c>
      <c r="M45" s="445">
        <v>1</v>
      </c>
      <c r="N45" s="446" t="s">
        <v>57</v>
      </c>
      <c r="O45" s="276"/>
      <c r="P45" s="290">
        <v>8232</v>
      </c>
      <c r="Q45" s="276"/>
    </row>
    <row r="46" spans="1:17" ht="16.5" x14ac:dyDescent="0.25">
      <c r="A46" s="112"/>
      <c r="B46" s="90"/>
      <c r="C46" s="112"/>
      <c r="D46" s="90"/>
      <c r="E46" s="112"/>
      <c r="F46" s="90"/>
      <c r="G46" s="440">
        <v>100</v>
      </c>
      <c r="H46" s="446">
        <v>2</v>
      </c>
      <c r="I46" s="445">
        <v>2</v>
      </c>
      <c r="J46" s="455">
        <v>1</v>
      </c>
      <c r="K46" s="446">
        <v>8</v>
      </c>
      <c r="L46" s="306">
        <v>0</v>
      </c>
      <c r="M46" s="445">
        <v>1</v>
      </c>
      <c r="N46" s="446" t="s">
        <v>58</v>
      </c>
      <c r="O46" s="276"/>
      <c r="P46" s="290">
        <v>2640</v>
      </c>
      <c r="Q46" s="276"/>
    </row>
    <row r="47" spans="1:17" ht="16.5" x14ac:dyDescent="0.25">
      <c r="A47" s="112"/>
      <c r="B47" s="90"/>
      <c r="C47" s="112"/>
      <c r="D47" s="90"/>
      <c r="E47" s="112"/>
      <c r="F47" s="90"/>
      <c r="G47" s="440"/>
      <c r="H47" s="446"/>
      <c r="I47" s="445"/>
      <c r="J47" s="455"/>
      <c r="K47" s="446"/>
      <c r="L47" s="306"/>
      <c r="M47" s="445"/>
      <c r="N47" s="446"/>
      <c r="O47" s="276"/>
      <c r="P47" s="290"/>
      <c r="Q47" s="276"/>
    </row>
    <row r="48" spans="1:17" ht="16.5" x14ac:dyDescent="0.25">
      <c r="A48" s="112"/>
      <c r="B48" s="85" t="s">
        <v>31</v>
      </c>
      <c r="C48" s="113" t="s">
        <v>31</v>
      </c>
      <c r="D48" s="85"/>
      <c r="E48" s="113" t="s">
        <v>32</v>
      </c>
      <c r="F48" s="85" t="s">
        <v>34</v>
      </c>
      <c r="G48" s="440"/>
      <c r="H48" s="418">
        <v>2</v>
      </c>
      <c r="I48" s="417">
        <v>2</v>
      </c>
      <c r="J48" s="453">
        <v>2</v>
      </c>
      <c r="K48" s="418"/>
      <c r="L48" s="454"/>
      <c r="M48" s="417"/>
      <c r="N48" s="418" t="s">
        <v>59</v>
      </c>
      <c r="O48" s="276"/>
      <c r="P48" s="291">
        <f>+P49+P50</f>
        <v>47812.259999999995</v>
      </c>
      <c r="Q48" s="292">
        <f>+Q50</f>
        <v>16794.29</v>
      </c>
    </row>
    <row r="49" spans="1:18" ht="16.5" x14ac:dyDescent="0.25">
      <c r="A49" s="112"/>
      <c r="B49" s="90"/>
      <c r="C49" s="112"/>
      <c r="D49" s="90"/>
      <c r="E49" s="112"/>
      <c r="F49" s="90"/>
      <c r="G49" s="440">
        <v>100</v>
      </c>
      <c r="H49" s="446">
        <v>2</v>
      </c>
      <c r="I49" s="445">
        <v>2</v>
      </c>
      <c r="J49" s="455">
        <v>2</v>
      </c>
      <c r="K49" s="446">
        <v>1</v>
      </c>
      <c r="L49" s="306">
        <v>0</v>
      </c>
      <c r="M49" s="445">
        <v>1</v>
      </c>
      <c r="N49" s="446" t="s">
        <v>60</v>
      </c>
      <c r="O49" s="276"/>
      <c r="P49" s="290">
        <f>19311.56+5122.75</f>
        <v>24434.31</v>
      </c>
      <c r="Q49" s="276"/>
    </row>
    <row r="50" spans="1:18" ht="16.5" x14ac:dyDescent="0.25">
      <c r="A50" s="112"/>
      <c r="B50" s="90"/>
      <c r="C50" s="112"/>
      <c r="D50" s="90"/>
      <c r="E50" s="112"/>
      <c r="F50" s="90"/>
      <c r="G50" s="440">
        <v>9995</v>
      </c>
      <c r="H50" s="446">
        <v>2</v>
      </c>
      <c r="I50" s="445">
        <v>2</v>
      </c>
      <c r="J50" s="455">
        <v>2</v>
      </c>
      <c r="K50" s="446">
        <v>2</v>
      </c>
      <c r="L50" s="306">
        <v>0</v>
      </c>
      <c r="M50" s="445">
        <v>1</v>
      </c>
      <c r="N50" s="446" t="s">
        <v>61</v>
      </c>
      <c r="O50" s="276"/>
      <c r="P50" s="397">
        <f>2322.71+1460.84+5122.82+14471.58</f>
        <v>23377.949999999997</v>
      </c>
      <c r="Q50" s="276">
        <f>2322.71+14471.58</f>
        <v>16794.29</v>
      </c>
    </row>
    <row r="51" spans="1:18" ht="16.5" x14ac:dyDescent="0.25">
      <c r="A51" s="112"/>
      <c r="B51" s="90"/>
      <c r="C51" s="112"/>
      <c r="D51" s="90"/>
      <c r="E51" s="112"/>
      <c r="F51" s="90"/>
      <c r="G51" s="440"/>
      <c r="H51" s="446"/>
      <c r="I51" s="445"/>
      <c r="J51" s="455"/>
      <c r="K51" s="446"/>
      <c r="L51" s="306"/>
      <c r="M51" s="445"/>
      <c r="N51" s="446"/>
      <c r="O51" s="276"/>
      <c r="P51" s="290"/>
      <c r="Q51" s="276"/>
    </row>
    <row r="52" spans="1:18" ht="16.5" x14ac:dyDescent="0.25">
      <c r="A52" s="112"/>
      <c r="B52" s="90"/>
      <c r="C52" s="112"/>
      <c r="D52" s="90"/>
      <c r="E52" s="112"/>
      <c r="F52" s="90"/>
      <c r="G52" s="440"/>
      <c r="H52" s="418">
        <v>2</v>
      </c>
      <c r="I52" s="417">
        <v>2</v>
      </c>
      <c r="J52" s="453">
        <v>3</v>
      </c>
      <c r="K52" s="446"/>
      <c r="L52" s="306"/>
      <c r="M52" s="445"/>
      <c r="N52" s="453" t="s">
        <v>62</v>
      </c>
      <c r="O52" s="276"/>
      <c r="P52" s="291">
        <f>+P53</f>
        <v>43760</v>
      </c>
      <c r="Q52" s="292">
        <f>+Q53</f>
        <v>43760</v>
      </c>
      <c r="R52" s="48"/>
    </row>
    <row r="53" spans="1:18" ht="16.5" x14ac:dyDescent="0.25">
      <c r="A53" s="112"/>
      <c r="B53" s="90"/>
      <c r="C53" s="112"/>
      <c r="D53" s="90"/>
      <c r="E53" s="112"/>
      <c r="F53" s="90"/>
      <c r="G53" s="440">
        <v>9995</v>
      </c>
      <c r="H53" s="446">
        <v>2</v>
      </c>
      <c r="I53" s="445">
        <v>2</v>
      </c>
      <c r="J53" s="455">
        <v>3</v>
      </c>
      <c r="K53" s="446">
        <v>1</v>
      </c>
      <c r="L53" s="306">
        <v>0</v>
      </c>
      <c r="M53" s="445">
        <v>1</v>
      </c>
      <c r="N53" s="455" t="s">
        <v>63</v>
      </c>
      <c r="O53" s="276"/>
      <c r="P53" s="482">
        <f>3675+3885+3885+5805+2965+2965+3675+5305+1600+2400+750+1050+1600+2400+750+1050</f>
        <v>43760</v>
      </c>
      <c r="Q53" s="294">
        <f>3675+3885+3885+5805+2965+2965+3675+5305+1600+2400+750+1050+1600+2400+750+1050</f>
        <v>43760</v>
      </c>
    </row>
    <row r="54" spans="1:18" ht="16.5" x14ac:dyDescent="0.25">
      <c r="A54" s="112"/>
      <c r="B54" s="90"/>
      <c r="C54" s="112"/>
      <c r="D54" s="90"/>
      <c r="E54" s="112"/>
      <c r="F54" s="90"/>
      <c r="G54" s="440"/>
      <c r="H54" s="446"/>
      <c r="I54" s="445"/>
      <c r="J54" s="455"/>
      <c r="K54" s="446"/>
      <c r="L54" s="306"/>
      <c r="M54" s="445"/>
      <c r="N54" s="446"/>
      <c r="O54" s="276"/>
      <c r="P54" s="295"/>
      <c r="Q54" s="294"/>
    </row>
    <row r="55" spans="1:18" ht="16.5" x14ac:dyDescent="0.25">
      <c r="A55" s="112"/>
      <c r="B55" s="90"/>
      <c r="C55" s="112"/>
      <c r="D55" s="90"/>
      <c r="E55" s="112"/>
      <c r="F55" s="90"/>
      <c r="G55" s="440"/>
      <c r="H55" s="446">
        <v>2</v>
      </c>
      <c r="I55" s="445">
        <v>2</v>
      </c>
      <c r="J55" s="455">
        <v>4</v>
      </c>
      <c r="K55" s="446"/>
      <c r="L55" s="306"/>
      <c r="M55" s="445"/>
      <c r="N55" s="418" t="s">
        <v>64</v>
      </c>
      <c r="O55" s="276"/>
      <c r="P55" s="301">
        <f>+P56</f>
        <v>580</v>
      </c>
      <c r="Q55" s="300">
        <f>+Q56</f>
        <v>580</v>
      </c>
    </row>
    <row r="56" spans="1:18" ht="16.5" x14ac:dyDescent="0.25">
      <c r="A56" s="112"/>
      <c r="B56" s="90"/>
      <c r="C56" s="112"/>
      <c r="D56" s="90"/>
      <c r="E56" s="112"/>
      <c r="F56" s="90"/>
      <c r="G56" s="440">
        <v>9995</v>
      </c>
      <c r="H56" s="446">
        <v>2</v>
      </c>
      <c r="I56" s="445">
        <v>2</v>
      </c>
      <c r="J56" s="455">
        <v>4</v>
      </c>
      <c r="K56" s="446">
        <v>4</v>
      </c>
      <c r="L56" s="306">
        <v>0</v>
      </c>
      <c r="M56" s="445">
        <v>1</v>
      </c>
      <c r="N56" s="446" t="s">
        <v>65</v>
      </c>
      <c r="O56" s="276"/>
      <c r="P56" s="295">
        <f>260+260+30+30</f>
        <v>580</v>
      </c>
      <c r="Q56" s="294">
        <f>260+260+30+30</f>
        <v>580</v>
      </c>
    </row>
    <row r="57" spans="1:18" ht="16.5" x14ac:dyDescent="0.25">
      <c r="A57" s="112"/>
      <c r="B57" s="90"/>
      <c r="C57" s="112"/>
      <c r="D57" s="90"/>
      <c r="E57" s="112"/>
      <c r="F57" s="90"/>
      <c r="G57" s="440"/>
      <c r="H57" s="446"/>
      <c r="I57" s="445"/>
      <c r="J57" s="455"/>
      <c r="K57" s="446"/>
      <c r="L57" s="306"/>
      <c r="M57" s="445"/>
      <c r="N57" s="446"/>
      <c r="O57" s="276"/>
      <c r="P57" s="295"/>
      <c r="Q57" s="294"/>
    </row>
    <row r="58" spans="1:18" ht="16.5" x14ac:dyDescent="0.25">
      <c r="A58" s="112"/>
      <c r="B58" s="90"/>
      <c r="C58" s="112"/>
      <c r="D58" s="90"/>
      <c r="E58" s="112"/>
      <c r="F58" s="90"/>
      <c r="G58" s="440"/>
      <c r="H58" s="446">
        <v>2</v>
      </c>
      <c r="I58" s="445">
        <v>2</v>
      </c>
      <c r="J58" s="455">
        <v>5</v>
      </c>
      <c r="K58" s="446"/>
      <c r="L58" s="306"/>
      <c r="M58" s="445"/>
      <c r="N58" s="446" t="s">
        <v>258</v>
      </c>
      <c r="O58" s="276"/>
      <c r="P58" s="301">
        <f>+P60+P59</f>
        <v>187965</v>
      </c>
      <c r="Q58" s="300">
        <f>+Q59</f>
        <v>107500</v>
      </c>
    </row>
    <row r="59" spans="1:18" ht="16.5" x14ac:dyDescent="0.25">
      <c r="A59" s="112"/>
      <c r="B59" s="90"/>
      <c r="C59" s="112"/>
      <c r="D59" s="90"/>
      <c r="E59" s="112"/>
      <c r="F59" s="90"/>
      <c r="G59" s="440">
        <v>9995</v>
      </c>
      <c r="H59" s="446">
        <v>2</v>
      </c>
      <c r="I59" s="445">
        <v>2</v>
      </c>
      <c r="J59" s="455">
        <v>5</v>
      </c>
      <c r="K59" s="446">
        <v>1</v>
      </c>
      <c r="L59" s="306">
        <v>0</v>
      </c>
      <c r="M59" s="445">
        <v>1</v>
      </c>
      <c r="N59" s="446" t="s">
        <v>259</v>
      </c>
      <c r="O59" s="276"/>
      <c r="P59" s="295">
        <v>107500</v>
      </c>
      <c r="Q59" s="294">
        <v>107500</v>
      </c>
    </row>
    <row r="60" spans="1:18" ht="16.5" x14ac:dyDescent="0.25">
      <c r="A60" s="112"/>
      <c r="B60" s="90"/>
      <c r="C60" s="112"/>
      <c r="D60" s="90"/>
      <c r="E60" s="112"/>
      <c r="F60" s="90"/>
      <c r="G60" s="440">
        <v>9995</v>
      </c>
      <c r="H60" s="446">
        <v>2</v>
      </c>
      <c r="I60" s="445">
        <v>2</v>
      </c>
      <c r="J60" s="455">
        <v>5</v>
      </c>
      <c r="K60" s="446">
        <v>4</v>
      </c>
      <c r="L60" s="306">
        <v>0</v>
      </c>
      <c r="M60" s="445">
        <v>1</v>
      </c>
      <c r="N60" s="446" t="s">
        <v>260</v>
      </c>
      <c r="O60" s="276"/>
      <c r="P60" s="295">
        <v>80465</v>
      </c>
      <c r="Q60" s="294"/>
    </row>
    <row r="61" spans="1:18" ht="16.5" x14ac:dyDescent="0.25">
      <c r="A61" s="112"/>
      <c r="B61" s="90"/>
      <c r="C61" s="112"/>
      <c r="D61" s="90"/>
      <c r="E61" s="112"/>
      <c r="F61" s="90"/>
      <c r="G61" s="440"/>
      <c r="H61" s="446"/>
      <c r="I61" s="445"/>
      <c r="J61" s="455"/>
      <c r="K61" s="446"/>
      <c r="L61" s="306"/>
      <c r="M61" s="445"/>
      <c r="N61" s="446"/>
      <c r="O61" s="276"/>
      <c r="P61" s="290"/>
      <c r="Q61" s="276"/>
    </row>
    <row r="62" spans="1:18" ht="16.5" x14ac:dyDescent="0.25">
      <c r="A62" s="112"/>
      <c r="B62" s="85" t="s">
        <v>31</v>
      </c>
      <c r="C62" s="113" t="s">
        <v>31</v>
      </c>
      <c r="D62" s="85"/>
      <c r="E62" s="113" t="s">
        <v>32</v>
      </c>
      <c r="F62" s="85" t="s">
        <v>34</v>
      </c>
      <c r="G62" s="440"/>
      <c r="H62" s="418">
        <v>2</v>
      </c>
      <c r="I62" s="417">
        <v>2</v>
      </c>
      <c r="J62" s="453">
        <v>6</v>
      </c>
      <c r="K62" s="418"/>
      <c r="L62" s="454"/>
      <c r="M62" s="417"/>
      <c r="N62" s="418" t="s">
        <v>66</v>
      </c>
      <c r="O62" s="276"/>
      <c r="P62" s="291">
        <f>+P64+P65+P63</f>
        <v>617784.74000000011</v>
      </c>
      <c r="Q62" s="292">
        <f>+Q64+Q65+Q63</f>
        <v>374446.33</v>
      </c>
    </row>
    <row r="63" spans="1:18" ht="16.5" x14ac:dyDescent="0.25">
      <c r="A63" s="112"/>
      <c r="B63" s="85"/>
      <c r="C63" s="113"/>
      <c r="D63" s="85"/>
      <c r="E63" s="113"/>
      <c r="F63" s="85"/>
      <c r="G63" s="440">
        <v>9995</v>
      </c>
      <c r="H63" s="446">
        <v>2</v>
      </c>
      <c r="I63" s="445">
        <v>2</v>
      </c>
      <c r="J63" s="455">
        <v>6</v>
      </c>
      <c r="K63" s="446">
        <v>1</v>
      </c>
      <c r="L63" s="306">
        <v>0</v>
      </c>
      <c r="M63" s="445">
        <v>1</v>
      </c>
      <c r="N63" s="446" t="s">
        <v>261</v>
      </c>
      <c r="O63" s="276"/>
      <c r="P63" s="290">
        <v>19956.8</v>
      </c>
      <c r="Q63" s="276">
        <v>19096.59</v>
      </c>
    </row>
    <row r="64" spans="1:18" ht="16.5" x14ac:dyDescent="0.25">
      <c r="A64" s="112"/>
      <c r="B64" s="90"/>
      <c r="C64" s="112"/>
      <c r="D64" s="90"/>
      <c r="E64" s="112"/>
      <c r="F64" s="90"/>
      <c r="G64" s="440">
        <v>100</v>
      </c>
      <c r="H64" s="446">
        <v>2</v>
      </c>
      <c r="I64" s="445">
        <v>2</v>
      </c>
      <c r="J64" s="455">
        <v>6</v>
      </c>
      <c r="K64" s="446">
        <v>2</v>
      </c>
      <c r="L64" s="306">
        <v>0</v>
      </c>
      <c r="M64" s="445">
        <v>1</v>
      </c>
      <c r="N64" s="446" t="s">
        <v>67</v>
      </c>
      <c r="O64" s="276"/>
      <c r="P64" s="290">
        <f>346342.34</f>
        <v>346342.34</v>
      </c>
      <c r="Q64" s="276">
        <f>331413.79</f>
        <v>331413.78999999998</v>
      </c>
    </row>
    <row r="65" spans="1:17" ht="16.5" x14ac:dyDescent="0.25">
      <c r="A65" s="112"/>
      <c r="B65" s="90"/>
      <c r="C65" s="112"/>
      <c r="D65" s="90"/>
      <c r="E65" s="112"/>
      <c r="F65" s="90"/>
      <c r="G65" s="440">
        <v>100</v>
      </c>
      <c r="H65" s="446">
        <v>2</v>
      </c>
      <c r="I65" s="445">
        <v>2</v>
      </c>
      <c r="J65" s="455">
        <v>6</v>
      </c>
      <c r="K65" s="446">
        <v>3</v>
      </c>
      <c r="L65" s="306">
        <v>0</v>
      </c>
      <c r="M65" s="445">
        <v>1</v>
      </c>
      <c r="N65" s="446" t="s">
        <v>68</v>
      </c>
      <c r="O65" s="276"/>
      <c r="P65" s="290">
        <f>6744.1+9290.37+6021.19+2682.02+222512.92+4235</f>
        <v>251485.6</v>
      </c>
      <c r="Q65" s="276">
        <f>6406.89+8825.85+6021.19+2682.02</f>
        <v>23935.95</v>
      </c>
    </row>
    <row r="66" spans="1:17" ht="16.5" x14ac:dyDescent="0.25">
      <c r="A66" s="112"/>
      <c r="B66" s="90"/>
      <c r="C66" s="112"/>
      <c r="D66" s="90"/>
      <c r="E66" s="112"/>
      <c r="F66" s="90"/>
      <c r="G66" s="440"/>
      <c r="H66" s="446"/>
      <c r="I66" s="445"/>
      <c r="J66" s="455"/>
      <c r="K66" s="446"/>
      <c r="L66" s="306"/>
      <c r="M66" s="445"/>
      <c r="N66" s="446"/>
      <c r="O66" s="276"/>
      <c r="P66" s="290"/>
      <c r="Q66" s="276"/>
    </row>
    <row r="67" spans="1:17" ht="33" x14ac:dyDescent="0.25">
      <c r="A67" s="112"/>
      <c r="B67" s="90"/>
      <c r="C67" s="112"/>
      <c r="D67" s="90"/>
      <c r="E67" s="112"/>
      <c r="F67" s="90"/>
      <c r="G67" s="440"/>
      <c r="H67" s="418">
        <v>2</v>
      </c>
      <c r="I67" s="417">
        <v>2</v>
      </c>
      <c r="J67" s="453">
        <v>7</v>
      </c>
      <c r="K67" s="418"/>
      <c r="L67" s="454"/>
      <c r="M67" s="417"/>
      <c r="N67" s="473" t="s">
        <v>69</v>
      </c>
      <c r="O67" s="292"/>
      <c r="P67" s="291">
        <f>+P68</f>
        <v>357435.58</v>
      </c>
      <c r="Q67" s="292">
        <f>+Q68</f>
        <v>327208.24</v>
      </c>
    </row>
    <row r="68" spans="1:17" ht="16.5" x14ac:dyDescent="0.25">
      <c r="A68" s="112"/>
      <c r="B68" s="90"/>
      <c r="C68" s="112"/>
      <c r="D68" s="90"/>
      <c r="E68" s="112"/>
      <c r="F68" s="90"/>
      <c r="G68" s="440">
        <v>9995</v>
      </c>
      <c r="H68" s="446">
        <v>2</v>
      </c>
      <c r="I68" s="445">
        <v>2</v>
      </c>
      <c r="J68" s="455">
        <v>7</v>
      </c>
      <c r="K68" s="446">
        <v>2</v>
      </c>
      <c r="L68" s="306">
        <v>0</v>
      </c>
      <c r="M68" s="445">
        <v>1</v>
      </c>
      <c r="N68" s="474" t="s">
        <v>70</v>
      </c>
      <c r="O68" s="276"/>
      <c r="P68" s="290">
        <f>282964+30000+30000+14471.58</f>
        <v>357435.58</v>
      </c>
      <c r="Q68" s="276">
        <f>258024.8+27355.93+27355.93+14471.58</f>
        <v>327208.24</v>
      </c>
    </row>
    <row r="69" spans="1:17" ht="16.5" x14ac:dyDescent="0.25">
      <c r="A69" s="112"/>
      <c r="B69" s="90"/>
      <c r="C69" s="112"/>
      <c r="D69" s="90"/>
      <c r="E69" s="112"/>
      <c r="F69" s="90"/>
      <c r="G69" s="440"/>
      <c r="H69" s="446"/>
      <c r="I69" s="445"/>
      <c r="J69" s="455"/>
      <c r="K69" s="446"/>
      <c r="L69" s="306"/>
      <c r="M69" s="445"/>
      <c r="N69" s="446"/>
      <c r="O69" s="276"/>
      <c r="P69" s="290"/>
      <c r="Q69" s="276"/>
    </row>
    <row r="70" spans="1:17" ht="16.5" x14ac:dyDescent="0.25">
      <c r="A70" s="112"/>
      <c r="B70" s="85" t="s">
        <v>31</v>
      </c>
      <c r="C70" s="113" t="s">
        <v>31</v>
      </c>
      <c r="D70" s="85"/>
      <c r="E70" s="113" t="s">
        <v>32</v>
      </c>
      <c r="F70" s="85" t="s">
        <v>34</v>
      </c>
      <c r="G70" s="440"/>
      <c r="H70" s="418">
        <v>2</v>
      </c>
      <c r="I70" s="417">
        <v>2</v>
      </c>
      <c r="J70" s="453">
        <v>8</v>
      </c>
      <c r="K70" s="418"/>
      <c r="L70" s="454"/>
      <c r="M70" s="417"/>
      <c r="N70" s="473" t="s">
        <v>71</v>
      </c>
      <c r="O70" s="276"/>
      <c r="P70" s="291">
        <f>+P71+P72+P73</f>
        <v>82340</v>
      </c>
      <c r="Q70" s="292">
        <f>+Q71+Q72+Q73</f>
        <v>73666.13</v>
      </c>
    </row>
    <row r="71" spans="1:17" ht="16.5" x14ac:dyDescent="0.25">
      <c r="A71" s="112"/>
      <c r="B71" s="90"/>
      <c r="C71" s="112"/>
      <c r="D71" s="90"/>
      <c r="E71" s="112"/>
      <c r="F71" s="90"/>
      <c r="G71" s="440">
        <v>9995</v>
      </c>
      <c r="H71" s="446">
        <v>2</v>
      </c>
      <c r="I71" s="445">
        <v>2</v>
      </c>
      <c r="J71" s="455">
        <v>8</v>
      </c>
      <c r="K71" s="446">
        <v>4</v>
      </c>
      <c r="L71" s="306">
        <v>0</v>
      </c>
      <c r="M71" s="445">
        <v>1</v>
      </c>
      <c r="N71" s="474" t="s">
        <v>72</v>
      </c>
      <c r="O71" s="276"/>
      <c r="P71" s="290">
        <v>800</v>
      </c>
      <c r="Q71" s="276">
        <v>800</v>
      </c>
    </row>
    <row r="72" spans="1:17" ht="33" x14ac:dyDescent="0.25">
      <c r="A72" s="112"/>
      <c r="B72" s="90"/>
      <c r="C72" s="112"/>
      <c r="D72" s="90"/>
      <c r="E72" s="112"/>
      <c r="F72" s="368"/>
      <c r="G72" s="444">
        <v>9995</v>
      </c>
      <c r="H72" s="446">
        <v>2</v>
      </c>
      <c r="I72" s="445">
        <v>2</v>
      </c>
      <c r="J72" s="455">
        <v>8</v>
      </c>
      <c r="K72" s="446">
        <v>7</v>
      </c>
      <c r="L72" s="306">
        <v>0</v>
      </c>
      <c r="M72" s="445">
        <v>1</v>
      </c>
      <c r="N72" s="474" t="s">
        <v>73</v>
      </c>
      <c r="O72" s="276"/>
      <c r="P72" s="290">
        <f>1770+30000+45000</f>
        <v>76770</v>
      </c>
      <c r="Q72" s="276">
        <f>1539+27000+40500</f>
        <v>69039</v>
      </c>
    </row>
    <row r="73" spans="1:17" ht="16.5" x14ac:dyDescent="0.25">
      <c r="A73" s="112"/>
      <c r="B73" s="90"/>
      <c r="C73" s="112"/>
      <c r="D73" s="90"/>
      <c r="E73" s="112"/>
      <c r="F73" s="90"/>
      <c r="G73" s="440">
        <v>9995</v>
      </c>
      <c r="H73" s="446">
        <v>2</v>
      </c>
      <c r="I73" s="445">
        <v>2</v>
      </c>
      <c r="J73" s="455">
        <v>8</v>
      </c>
      <c r="K73" s="446">
        <v>7</v>
      </c>
      <c r="L73" s="306">
        <v>0</v>
      </c>
      <c r="M73" s="445">
        <v>6</v>
      </c>
      <c r="N73" s="474" t="s">
        <v>74</v>
      </c>
      <c r="O73" s="276"/>
      <c r="P73" s="482">
        <f>3000+1770</f>
        <v>4770</v>
      </c>
      <c r="Q73" s="294">
        <f>2288.13+1539</f>
        <v>3827.13</v>
      </c>
    </row>
    <row r="74" spans="1:17" ht="16.5" x14ac:dyDescent="0.25">
      <c r="C74" s="112"/>
      <c r="D74" s="90"/>
      <c r="E74" s="112"/>
      <c r="F74" s="90"/>
      <c r="G74" s="440"/>
      <c r="H74" s="441"/>
      <c r="I74" s="440"/>
      <c r="J74" s="446"/>
      <c r="K74" s="445"/>
      <c r="L74" s="271"/>
      <c r="M74" s="410"/>
      <c r="N74" s="455"/>
      <c r="O74" s="446"/>
      <c r="P74" s="308"/>
      <c r="Q74" s="276"/>
    </row>
    <row r="75" spans="1:17" ht="16.5" x14ac:dyDescent="0.25">
      <c r="A75" s="112"/>
      <c r="B75" s="85" t="s">
        <v>31</v>
      </c>
      <c r="C75" s="113" t="s">
        <v>31</v>
      </c>
      <c r="D75" s="85"/>
      <c r="E75" s="113" t="s">
        <v>32</v>
      </c>
      <c r="F75" s="85" t="s">
        <v>34</v>
      </c>
      <c r="G75" s="440"/>
      <c r="H75" s="418">
        <v>2</v>
      </c>
      <c r="I75" s="417">
        <v>3</v>
      </c>
      <c r="J75" s="453"/>
      <c r="K75" s="455"/>
      <c r="L75" s="446"/>
      <c r="M75" s="417"/>
      <c r="N75" s="418" t="s">
        <v>75</v>
      </c>
      <c r="O75" s="292">
        <f>+P75-Q75</f>
        <v>240805.34999999998</v>
      </c>
      <c r="P75" s="291">
        <f>+P77+P80+P84+P89+P92</f>
        <v>516756.38</v>
      </c>
      <c r="Q75" s="292">
        <f>+Q77+Q80+Q84+Q89+Q92</f>
        <v>275951.03000000003</v>
      </c>
    </row>
    <row r="76" spans="1:17" ht="16.5" x14ac:dyDescent="0.25">
      <c r="A76" s="112"/>
      <c r="B76" s="90"/>
      <c r="C76" s="112"/>
      <c r="D76" s="90"/>
      <c r="E76" s="112"/>
      <c r="F76" s="90"/>
      <c r="G76" s="440"/>
      <c r="H76" s="418"/>
      <c r="I76" s="417"/>
      <c r="J76" s="453"/>
      <c r="K76" s="418"/>
      <c r="L76" s="454"/>
      <c r="M76" s="417"/>
      <c r="N76" s="418"/>
      <c r="O76" s="276"/>
      <c r="P76" s="290"/>
      <c r="Q76" s="276"/>
    </row>
    <row r="77" spans="1:17" ht="16.5" x14ac:dyDescent="0.25">
      <c r="A77" s="112"/>
      <c r="B77" s="85" t="s">
        <v>31</v>
      </c>
      <c r="C77" s="113" t="s">
        <v>31</v>
      </c>
      <c r="D77" s="85"/>
      <c r="E77" s="113" t="s">
        <v>32</v>
      </c>
      <c r="F77" s="85" t="s">
        <v>34</v>
      </c>
      <c r="G77" s="440">
        <v>9995</v>
      </c>
      <c r="H77" s="418">
        <v>2</v>
      </c>
      <c r="I77" s="417">
        <v>3</v>
      </c>
      <c r="J77" s="453">
        <v>1</v>
      </c>
      <c r="K77" s="418"/>
      <c r="L77" s="454"/>
      <c r="M77" s="417"/>
      <c r="N77" s="418" t="s">
        <v>76</v>
      </c>
      <c r="O77" s="276"/>
      <c r="P77" s="291">
        <f>+P78</f>
        <v>49821.4</v>
      </c>
      <c r="Q77" s="292">
        <f>+Q78</f>
        <v>17651.580000000002</v>
      </c>
    </row>
    <row r="78" spans="1:17" ht="16.5" x14ac:dyDescent="0.25">
      <c r="A78" s="112"/>
      <c r="B78" s="90"/>
      <c r="C78" s="112"/>
      <c r="D78" s="90"/>
      <c r="E78" s="112"/>
      <c r="F78" s="90"/>
      <c r="G78" s="440">
        <v>9995</v>
      </c>
      <c r="H78" s="446">
        <v>2</v>
      </c>
      <c r="I78" s="445">
        <v>3</v>
      </c>
      <c r="J78" s="455">
        <v>1</v>
      </c>
      <c r="K78" s="446">
        <v>1</v>
      </c>
      <c r="L78" s="306">
        <v>0</v>
      </c>
      <c r="M78" s="445">
        <v>1</v>
      </c>
      <c r="N78" s="446" t="s">
        <v>77</v>
      </c>
      <c r="O78" s="276"/>
      <c r="P78" s="290">
        <f>27047+3180+5122.82+14471.58</f>
        <v>49821.4</v>
      </c>
      <c r="Q78" s="276">
        <f>3180+14471.58</f>
        <v>17651.580000000002</v>
      </c>
    </row>
    <row r="79" spans="1:17" ht="16.5" x14ac:dyDescent="0.25">
      <c r="A79" s="112"/>
      <c r="B79" s="90"/>
      <c r="C79" s="112"/>
      <c r="D79" s="90"/>
      <c r="E79" s="112"/>
      <c r="F79" s="90"/>
      <c r="G79" s="440"/>
      <c r="H79" s="446"/>
      <c r="I79" s="445"/>
      <c r="J79" s="455"/>
      <c r="K79" s="446"/>
      <c r="L79" s="306"/>
      <c r="M79" s="445"/>
      <c r="N79" s="446"/>
      <c r="O79" s="276"/>
      <c r="P79" s="290"/>
      <c r="Q79" s="276"/>
    </row>
    <row r="80" spans="1:17" ht="16.5" x14ac:dyDescent="0.25">
      <c r="A80" s="112"/>
      <c r="B80" s="85" t="s">
        <v>31</v>
      </c>
      <c r="C80" s="113" t="s">
        <v>31</v>
      </c>
      <c r="D80" s="85"/>
      <c r="E80" s="113" t="s">
        <v>32</v>
      </c>
      <c r="F80" s="85" t="s">
        <v>34</v>
      </c>
      <c r="G80" s="440"/>
      <c r="H80" s="418">
        <v>2</v>
      </c>
      <c r="I80" s="417">
        <v>3</v>
      </c>
      <c r="J80" s="453">
        <v>3</v>
      </c>
      <c r="K80" s="418"/>
      <c r="L80" s="454"/>
      <c r="M80" s="417"/>
      <c r="N80" s="418" t="s">
        <v>78</v>
      </c>
      <c r="O80" s="276"/>
      <c r="P80" s="291">
        <f>+P81+P82</f>
        <v>41255.94</v>
      </c>
      <c r="Q80" s="292">
        <f>+Q81+Q82</f>
        <v>31010.300000000003</v>
      </c>
    </row>
    <row r="81" spans="1:18" ht="16.5" x14ac:dyDescent="0.25">
      <c r="A81" s="112"/>
      <c r="B81" s="90"/>
      <c r="C81" s="112"/>
      <c r="D81" s="90"/>
      <c r="E81" s="112"/>
      <c r="F81" s="90"/>
      <c r="G81" s="440">
        <v>9995</v>
      </c>
      <c r="H81" s="446">
        <v>2</v>
      </c>
      <c r="I81" s="445">
        <v>3</v>
      </c>
      <c r="J81" s="455">
        <v>3</v>
      </c>
      <c r="K81" s="446">
        <v>2</v>
      </c>
      <c r="L81" s="306">
        <v>0</v>
      </c>
      <c r="M81" s="445">
        <v>1</v>
      </c>
      <c r="N81" s="446" t="s">
        <v>79</v>
      </c>
      <c r="O81" s="276"/>
      <c r="P81" s="290">
        <f>420+1338.77+5122.82+14471.58</f>
        <v>21353.17</v>
      </c>
      <c r="Q81" s="276">
        <f>420+1338.77+14471.58</f>
        <v>16230.35</v>
      </c>
    </row>
    <row r="82" spans="1:18" ht="16.5" x14ac:dyDescent="0.25">
      <c r="A82" s="112"/>
      <c r="B82" s="90"/>
      <c r="C82" s="112"/>
      <c r="D82" s="90"/>
      <c r="E82" s="112"/>
      <c r="F82" s="90"/>
      <c r="G82" s="440">
        <v>9995</v>
      </c>
      <c r="H82" s="446">
        <v>2</v>
      </c>
      <c r="I82" s="445">
        <v>3</v>
      </c>
      <c r="J82" s="455">
        <v>3</v>
      </c>
      <c r="K82" s="446">
        <v>4</v>
      </c>
      <c r="L82" s="306">
        <v>0</v>
      </c>
      <c r="M82" s="445">
        <v>1</v>
      </c>
      <c r="N82" s="446" t="s">
        <v>80</v>
      </c>
      <c r="O82" s="276"/>
      <c r="P82" s="290">
        <f>308.37+5122.82+14471.58</f>
        <v>19902.77</v>
      </c>
      <c r="Q82" s="276">
        <f>308.37+14471.58</f>
        <v>14779.95</v>
      </c>
    </row>
    <row r="83" spans="1:18" ht="16.5" x14ac:dyDescent="0.25">
      <c r="A83" s="112"/>
      <c r="B83" s="90"/>
      <c r="C83" s="112"/>
      <c r="D83" s="90"/>
      <c r="E83" s="112"/>
      <c r="F83" s="90"/>
      <c r="G83" s="440"/>
      <c r="H83" s="446"/>
      <c r="I83" s="445"/>
      <c r="J83" s="455"/>
      <c r="K83" s="446"/>
      <c r="L83" s="306"/>
      <c r="M83" s="445"/>
      <c r="N83" s="446"/>
      <c r="O83" s="276"/>
      <c r="P83" s="290"/>
      <c r="Q83" s="276"/>
    </row>
    <row r="84" spans="1:18" ht="16.5" x14ac:dyDescent="0.25">
      <c r="A84" s="112"/>
      <c r="B84" s="85" t="s">
        <v>31</v>
      </c>
      <c r="C84" s="113" t="s">
        <v>31</v>
      </c>
      <c r="D84" s="85"/>
      <c r="E84" s="113" t="s">
        <v>32</v>
      </c>
      <c r="F84" s="85" t="s">
        <v>34</v>
      </c>
      <c r="G84" s="440"/>
      <c r="H84" s="418">
        <v>2</v>
      </c>
      <c r="I84" s="417">
        <v>3</v>
      </c>
      <c r="J84" s="453">
        <v>5</v>
      </c>
      <c r="K84" s="418"/>
      <c r="L84" s="454"/>
      <c r="M84" s="417"/>
      <c r="N84" s="418" t="s">
        <v>81</v>
      </c>
      <c r="O84" s="276"/>
      <c r="P84" s="291">
        <f>+P85</f>
        <v>49274.9</v>
      </c>
      <c r="Q84" s="292">
        <f>+Q85</f>
        <v>44152.08</v>
      </c>
    </row>
    <row r="85" spans="1:18" ht="16.5" x14ac:dyDescent="0.25">
      <c r="A85" s="112"/>
      <c r="B85" s="90"/>
      <c r="C85" s="112"/>
      <c r="D85" s="90"/>
      <c r="E85" s="112"/>
      <c r="F85" s="90"/>
      <c r="G85" s="440">
        <v>9995</v>
      </c>
      <c r="H85" s="446">
        <v>2</v>
      </c>
      <c r="I85" s="445">
        <v>3</v>
      </c>
      <c r="J85" s="455">
        <v>5</v>
      </c>
      <c r="K85" s="446">
        <v>4</v>
      </c>
      <c r="L85" s="306">
        <v>0</v>
      </c>
      <c r="M85" s="445">
        <v>1</v>
      </c>
      <c r="N85" s="446" t="s">
        <v>82</v>
      </c>
      <c r="O85" s="276"/>
      <c r="P85" s="290">
        <f>29680.5+5122.82+14471.58</f>
        <v>49274.9</v>
      </c>
      <c r="Q85" s="276">
        <f>29680.5+14471.58</f>
        <v>44152.08</v>
      </c>
    </row>
    <row r="86" spans="1:18" ht="17.25" thickBot="1" x14ac:dyDescent="0.3">
      <c r="A86" s="112"/>
      <c r="B86" s="90"/>
      <c r="C86" s="112"/>
      <c r="D86" s="90"/>
      <c r="E86" s="112"/>
      <c r="F86" s="90"/>
      <c r="G86" s="440"/>
      <c r="H86" s="446"/>
      <c r="I86" s="445"/>
      <c r="J86" s="455"/>
      <c r="K86" s="446"/>
      <c r="L86" s="306"/>
      <c r="M86" s="445"/>
      <c r="N86" s="446"/>
      <c r="O86" s="276"/>
      <c r="P86" s="290"/>
      <c r="Q86" s="276"/>
    </row>
    <row r="87" spans="1:18" ht="17.25" thickBot="1" x14ac:dyDescent="0.3">
      <c r="A87" s="486"/>
      <c r="B87" s="487"/>
      <c r="C87" s="487"/>
      <c r="D87" s="487"/>
      <c r="E87" s="487"/>
      <c r="F87" s="487"/>
      <c r="G87" s="488"/>
      <c r="H87" s="489"/>
      <c r="I87" s="489"/>
      <c r="J87" s="489"/>
      <c r="K87" s="489"/>
      <c r="L87" s="489"/>
      <c r="M87" s="489"/>
      <c r="N87" s="489"/>
      <c r="O87" s="297"/>
      <c r="P87" s="297"/>
      <c r="Q87" s="490"/>
    </row>
    <row r="88" spans="1:18" s="485" customFormat="1" ht="17.25" thickBot="1" x14ac:dyDescent="0.3">
      <c r="A88" s="115"/>
      <c r="B88" s="118"/>
      <c r="C88" s="118"/>
      <c r="D88" s="118"/>
      <c r="E88" s="118"/>
      <c r="F88" s="118"/>
      <c r="G88" s="491"/>
      <c r="H88" s="458"/>
      <c r="I88" s="458"/>
      <c r="J88" s="458"/>
      <c r="K88" s="458"/>
      <c r="L88" s="458"/>
      <c r="M88" s="458"/>
      <c r="N88" s="458"/>
      <c r="O88" s="303"/>
      <c r="P88" s="303"/>
      <c r="Q88" s="492"/>
    </row>
    <row r="89" spans="1:18" ht="33" x14ac:dyDescent="0.25">
      <c r="A89" s="112"/>
      <c r="B89" s="85" t="s">
        <v>31</v>
      </c>
      <c r="C89" s="113" t="s">
        <v>31</v>
      </c>
      <c r="D89" s="85"/>
      <c r="E89" s="113" t="s">
        <v>32</v>
      </c>
      <c r="F89" s="85" t="s">
        <v>34</v>
      </c>
      <c r="G89" s="440"/>
      <c r="H89" s="418">
        <v>2</v>
      </c>
      <c r="I89" s="417">
        <v>3</v>
      </c>
      <c r="J89" s="453">
        <v>6</v>
      </c>
      <c r="K89" s="418"/>
      <c r="L89" s="454"/>
      <c r="M89" s="417"/>
      <c r="N89" s="475" t="s">
        <v>83</v>
      </c>
      <c r="O89" s="276"/>
      <c r="P89" s="326">
        <f>+P90</f>
        <v>73971.02</v>
      </c>
      <c r="Q89" s="327">
        <f>+Q90</f>
        <v>65229.73</v>
      </c>
    </row>
    <row r="90" spans="1:18" ht="16.5" x14ac:dyDescent="0.25">
      <c r="A90" s="112"/>
      <c r="B90" s="90"/>
      <c r="C90" s="112"/>
      <c r="D90" s="90"/>
      <c r="E90" s="112"/>
      <c r="F90" s="90"/>
      <c r="G90" s="440">
        <v>9995</v>
      </c>
      <c r="H90" s="446">
        <v>2</v>
      </c>
      <c r="I90" s="445">
        <v>3</v>
      </c>
      <c r="J90" s="455">
        <v>6</v>
      </c>
      <c r="K90" s="456">
        <v>3</v>
      </c>
      <c r="L90" s="446">
        <v>0</v>
      </c>
      <c r="M90" s="445">
        <v>1</v>
      </c>
      <c r="N90" s="446" t="s">
        <v>84</v>
      </c>
      <c r="O90" s="276"/>
      <c r="P90" s="290">
        <f>54376.62+5122.82+14471.58</f>
        <v>73971.02</v>
      </c>
      <c r="Q90" s="276">
        <f>50758.15+14471.58</f>
        <v>65229.73</v>
      </c>
    </row>
    <row r="91" spans="1:18" ht="17.25" thickBot="1" x14ac:dyDescent="0.3">
      <c r="A91" s="117"/>
      <c r="B91" s="118"/>
      <c r="C91" s="117"/>
      <c r="D91" s="118"/>
      <c r="E91" s="117"/>
      <c r="F91" s="118"/>
      <c r="G91" s="457"/>
      <c r="H91" s="458"/>
      <c r="I91" s="459"/>
      <c r="J91" s="458"/>
      <c r="K91" s="460"/>
      <c r="L91" s="458"/>
      <c r="M91" s="459"/>
      <c r="N91" s="458"/>
      <c r="O91" s="302"/>
      <c r="P91" s="303"/>
      <c r="Q91" s="302"/>
      <c r="R91" s="11"/>
    </row>
    <row r="92" spans="1:18" ht="33" x14ac:dyDescent="0.25">
      <c r="A92" s="193"/>
      <c r="B92" s="86" t="s">
        <v>31</v>
      </c>
      <c r="C92" s="116" t="s">
        <v>31</v>
      </c>
      <c r="D92" s="86"/>
      <c r="E92" s="116" t="s">
        <v>32</v>
      </c>
      <c r="F92" s="86" t="s">
        <v>34</v>
      </c>
      <c r="G92" s="461"/>
      <c r="H92" s="462">
        <v>2</v>
      </c>
      <c r="I92" s="463">
        <v>3</v>
      </c>
      <c r="J92" s="462">
        <v>7</v>
      </c>
      <c r="K92" s="463"/>
      <c r="L92" s="469"/>
      <c r="M92" s="462"/>
      <c r="N92" s="476" t="s">
        <v>85</v>
      </c>
      <c r="O92" s="464"/>
      <c r="P92" s="483">
        <f>+P93</f>
        <v>302433.12</v>
      </c>
      <c r="Q92" s="465">
        <f>+Q93</f>
        <v>117907.34</v>
      </c>
    </row>
    <row r="93" spans="1:18" ht="16.5" x14ac:dyDescent="0.25">
      <c r="A93" s="112"/>
      <c r="B93" s="90"/>
      <c r="C93" s="112"/>
      <c r="D93" s="90"/>
      <c r="E93" s="112"/>
      <c r="F93" s="90"/>
      <c r="G93" s="440">
        <v>9995</v>
      </c>
      <c r="H93" s="445">
        <v>2</v>
      </c>
      <c r="I93" s="446">
        <v>3</v>
      </c>
      <c r="J93" s="445">
        <v>7</v>
      </c>
      <c r="K93" s="446">
        <v>1</v>
      </c>
      <c r="L93" s="306">
        <v>0</v>
      </c>
      <c r="M93" s="445">
        <v>1</v>
      </c>
      <c r="N93" s="455" t="s">
        <v>86</v>
      </c>
      <c r="O93" s="397"/>
      <c r="P93" s="482">
        <f>4000+3500+2000+179402.96+2000+84700+5122.82+14471.58+7235.76</f>
        <v>302433.12</v>
      </c>
      <c r="Q93" s="294">
        <f>4000+3500+2000+2000+84700+14471.58+7235.76</f>
        <v>117907.34</v>
      </c>
    </row>
    <row r="94" spans="1:18" ht="16.5" x14ac:dyDescent="0.25">
      <c r="A94" s="112"/>
      <c r="B94" s="90"/>
      <c r="C94" s="112"/>
      <c r="D94" s="90"/>
      <c r="E94" s="112"/>
      <c r="F94" s="90"/>
      <c r="G94" s="440"/>
      <c r="H94" s="445"/>
      <c r="I94" s="446"/>
      <c r="J94" s="445"/>
      <c r="K94" s="446"/>
      <c r="L94" s="306"/>
      <c r="M94" s="445"/>
      <c r="N94" s="455"/>
      <c r="O94" s="397"/>
      <c r="P94" s="482"/>
      <c r="Q94" s="294"/>
    </row>
    <row r="95" spans="1:18" ht="16.5" x14ac:dyDescent="0.25">
      <c r="A95" s="112"/>
      <c r="B95" s="90"/>
      <c r="C95" s="112"/>
      <c r="D95" s="90"/>
      <c r="E95" s="112"/>
      <c r="F95" s="90"/>
      <c r="G95" s="440"/>
      <c r="H95" s="417">
        <v>2</v>
      </c>
      <c r="I95" s="418">
        <v>4</v>
      </c>
      <c r="J95" s="417"/>
      <c r="K95" s="418"/>
      <c r="L95" s="454"/>
      <c r="M95" s="417"/>
      <c r="N95" s="453" t="s">
        <v>87</v>
      </c>
      <c r="O95" s="397">
        <f>+P95-Q95</f>
        <v>0</v>
      </c>
      <c r="P95" s="466">
        <f>+P97</f>
        <v>3538256.26</v>
      </c>
      <c r="Q95" s="292">
        <f>+Q97</f>
        <v>3538256.26</v>
      </c>
    </row>
    <row r="96" spans="1:18" ht="16.5" x14ac:dyDescent="0.25">
      <c r="A96" s="112"/>
      <c r="B96" s="90"/>
      <c r="C96" s="112"/>
      <c r="D96" s="90"/>
      <c r="E96" s="112"/>
      <c r="F96" s="90"/>
      <c r="G96" s="440"/>
      <c r="H96" s="445"/>
      <c r="I96" s="446"/>
      <c r="J96" s="445"/>
      <c r="K96" s="446"/>
      <c r="L96" s="306"/>
      <c r="M96" s="445"/>
      <c r="N96" s="455"/>
      <c r="O96" s="397"/>
      <c r="P96" s="397"/>
      <c r="Q96" s="276"/>
    </row>
    <row r="97" spans="1:19" ht="33" x14ac:dyDescent="0.25">
      <c r="A97" s="112"/>
      <c r="B97" s="90"/>
      <c r="C97" s="112"/>
      <c r="D97" s="90"/>
      <c r="E97" s="112"/>
      <c r="F97" s="90"/>
      <c r="G97" s="440"/>
      <c r="H97" s="417">
        <v>2</v>
      </c>
      <c r="I97" s="418">
        <v>4</v>
      </c>
      <c r="J97" s="417">
        <v>4</v>
      </c>
      <c r="K97" s="418"/>
      <c r="L97" s="454"/>
      <c r="M97" s="417"/>
      <c r="N97" s="477" t="s">
        <v>88</v>
      </c>
      <c r="O97" s="466"/>
      <c r="P97" s="466">
        <f>+P98</f>
        <v>3538256.26</v>
      </c>
      <c r="Q97" s="292">
        <f>+Q98</f>
        <v>3538256.26</v>
      </c>
      <c r="R97" s="48"/>
      <c r="S97" s="48"/>
    </row>
    <row r="98" spans="1:19" ht="16.5" x14ac:dyDescent="0.25">
      <c r="A98" s="112"/>
      <c r="B98" s="90"/>
      <c r="C98" s="112"/>
      <c r="D98" s="90"/>
      <c r="E98" s="112"/>
      <c r="F98" s="90"/>
      <c r="G98" s="440">
        <v>9995</v>
      </c>
      <c r="H98" s="396">
        <v>2</v>
      </c>
      <c r="I98" s="395">
        <v>4</v>
      </c>
      <c r="J98" s="467">
        <v>4</v>
      </c>
      <c r="K98" s="395">
        <v>1</v>
      </c>
      <c r="L98" s="470">
        <v>0</v>
      </c>
      <c r="M98" s="467">
        <v>2</v>
      </c>
      <c r="N98" s="478" t="s">
        <v>89</v>
      </c>
      <c r="O98" s="397"/>
      <c r="P98" s="397">
        <f>485678.21+351240+2701338.05</f>
        <v>3538256.26</v>
      </c>
      <c r="Q98" s="276">
        <f>+P98</f>
        <v>3538256.26</v>
      </c>
    </row>
    <row r="99" spans="1:19" ht="16.5" x14ac:dyDescent="0.25">
      <c r="A99" s="112"/>
      <c r="B99" s="90"/>
      <c r="C99" s="112"/>
      <c r="D99" s="90"/>
      <c r="E99" s="112"/>
      <c r="F99" s="90"/>
      <c r="G99" s="440"/>
      <c r="H99" s="396"/>
      <c r="I99" s="395"/>
      <c r="J99" s="467"/>
      <c r="K99" s="395"/>
      <c r="L99" s="470"/>
      <c r="M99" s="467"/>
      <c r="N99" s="478"/>
      <c r="O99" s="397"/>
      <c r="P99" s="397"/>
      <c r="Q99" s="276"/>
    </row>
    <row r="100" spans="1:19" ht="16.5" x14ac:dyDescent="0.25">
      <c r="A100" s="112"/>
      <c r="B100" s="90"/>
      <c r="C100" s="112"/>
      <c r="D100" s="90"/>
      <c r="E100" s="112"/>
      <c r="F100" s="90"/>
      <c r="G100" s="440"/>
      <c r="H100" s="447">
        <v>2</v>
      </c>
      <c r="I100" s="468">
        <v>6</v>
      </c>
      <c r="J100" s="467"/>
      <c r="K100" s="395"/>
      <c r="L100" s="470"/>
      <c r="M100" s="467"/>
      <c r="N100" s="479" t="s">
        <v>90</v>
      </c>
      <c r="O100" s="397">
        <f>+P100-Q100</f>
        <v>243618.69</v>
      </c>
      <c r="P100" s="466">
        <f>+P102+P105</f>
        <v>243618.69</v>
      </c>
      <c r="Q100" s="276"/>
    </row>
    <row r="101" spans="1:19" ht="16.5" x14ac:dyDescent="0.25">
      <c r="A101" s="112"/>
      <c r="B101" s="90"/>
      <c r="C101" s="112"/>
      <c r="D101" s="90"/>
      <c r="E101" s="112"/>
      <c r="F101" s="90"/>
      <c r="G101" s="112"/>
      <c r="H101" s="156"/>
      <c r="I101" s="105"/>
      <c r="J101" s="133"/>
      <c r="K101" s="106"/>
      <c r="L101" s="471"/>
      <c r="M101" s="133"/>
      <c r="N101" s="267"/>
      <c r="O101" s="179"/>
      <c r="P101" s="230"/>
      <c r="Q101" s="124"/>
    </row>
    <row r="102" spans="1:19" ht="16.5" x14ac:dyDescent="0.25">
      <c r="A102" s="112"/>
      <c r="B102" s="90"/>
      <c r="C102" s="112"/>
      <c r="D102" s="90"/>
      <c r="E102" s="112"/>
      <c r="F102" s="90"/>
      <c r="G102" s="112"/>
      <c r="H102" s="156">
        <v>2</v>
      </c>
      <c r="I102" s="105">
        <v>6</v>
      </c>
      <c r="J102" s="132">
        <v>1</v>
      </c>
      <c r="K102" s="106"/>
      <c r="L102" s="471"/>
      <c r="M102" s="133"/>
      <c r="N102" s="267" t="s">
        <v>91</v>
      </c>
      <c r="O102" s="179"/>
      <c r="P102" s="230">
        <f>+P103</f>
        <v>239636.19</v>
      </c>
      <c r="Q102" s="124"/>
    </row>
    <row r="103" spans="1:19" ht="16.5" x14ac:dyDescent="0.25">
      <c r="A103" s="112"/>
      <c r="B103" s="90"/>
      <c r="C103" s="112"/>
      <c r="D103" s="90"/>
      <c r="E103" s="112"/>
      <c r="F103" s="90"/>
      <c r="G103" s="112"/>
      <c r="H103" s="180">
        <v>2</v>
      </c>
      <c r="I103" s="106">
        <v>6</v>
      </c>
      <c r="J103" s="133">
        <v>1</v>
      </c>
      <c r="K103" s="106">
        <v>1</v>
      </c>
      <c r="L103" s="471">
        <v>0</v>
      </c>
      <c r="M103" s="133">
        <v>1</v>
      </c>
      <c r="N103" s="480" t="s">
        <v>92</v>
      </c>
      <c r="O103" s="179"/>
      <c r="P103" s="179">
        <v>239636.19</v>
      </c>
      <c r="Q103" s="124"/>
    </row>
    <row r="104" spans="1:19" ht="16.5" x14ac:dyDescent="0.25">
      <c r="A104" s="112"/>
      <c r="B104" s="90"/>
      <c r="C104" s="112"/>
      <c r="D104" s="90"/>
      <c r="E104" s="112"/>
      <c r="F104" s="90"/>
      <c r="G104" s="112"/>
      <c r="H104" s="156"/>
      <c r="I104" s="105"/>
      <c r="J104" s="133"/>
      <c r="K104" s="106"/>
      <c r="L104" s="471"/>
      <c r="M104" s="133"/>
      <c r="N104" s="267"/>
      <c r="O104" s="179"/>
      <c r="P104" s="179"/>
      <c r="Q104" s="124"/>
    </row>
    <row r="105" spans="1:19" ht="16.5" x14ac:dyDescent="0.25">
      <c r="A105" s="112"/>
      <c r="B105" s="90"/>
      <c r="C105" s="112"/>
      <c r="D105" s="90"/>
      <c r="E105" s="112"/>
      <c r="F105" s="90"/>
      <c r="G105" s="112"/>
      <c r="H105" s="156">
        <v>2</v>
      </c>
      <c r="I105" s="105">
        <v>6</v>
      </c>
      <c r="J105" s="132">
        <v>5</v>
      </c>
      <c r="K105" s="106"/>
      <c r="L105" s="471"/>
      <c r="M105" s="133"/>
      <c r="N105" s="267" t="s">
        <v>93</v>
      </c>
      <c r="O105" s="179"/>
      <c r="P105" s="230">
        <f>+P106</f>
        <v>3982.5</v>
      </c>
      <c r="Q105" s="124"/>
    </row>
    <row r="106" spans="1:19" ht="16.5" x14ac:dyDescent="0.25">
      <c r="A106" s="112"/>
      <c r="B106" s="90"/>
      <c r="C106" s="112"/>
      <c r="D106" s="90"/>
      <c r="E106" s="112"/>
      <c r="F106" s="90"/>
      <c r="G106" s="112"/>
      <c r="H106" s="180">
        <v>2</v>
      </c>
      <c r="I106" s="106">
        <v>6</v>
      </c>
      <c r="J106" s="133">
        <v>5</v>
      </c>
      <c r="K106" s="106">
        <v>1</v>
      </c>
      <c r="L106" s="471">
        <v>0</v>
      </c>
      <c r="M106" s="133">
        <v>1</v>
      </c>
      <c r="N106" s="480" t="s">
        <v>94</v>
      </c>
      <c r="O106" s="179"/>
      <c r="P106" s="179">
        <v>3982.5</v>
      </c>
      <c r="Q106" s="124"/>
    </row>
    <row r="107" spans="1:19" ht="17.25" thickBot="1" x14ac:dyDescent="0.3">
      <c r="A107" s="117"/>
      <c r="B107" s="118"/>
      <c r="C107" s="117"/>
      <c r="D107" s="118"/>
      <c r="E107" s="117"/>
      <c r="F107" s="118"/>
      <c r="G107" s="117"/>
      <c r="H107" s="121"/>
      <c r="I107" s="89"/>
      <c r="J107" s="121"/>
      <c r="K107" s="89"/>
      <c r="L107" s="472"/>
      <c r="M107" s="121"/>
      <c r="N107" s="481"/>
      <c r="O107" s="185"/>
      <c r="P107" s="185"/>
      <c r="Q107" s="125"/>
    </row>
    <row r="108" spans="1:19" ht="17.25" thickBot="1" x14ac:dyDescent="0.3">
      <c r="A108" s="580" t="s">
        <v>95</v>
      </c>
      <c r="B108" s="581"/>
      <c r="C108" s="581"/>
      <c r="D108" s="581"/>
      <c r="E108" s="581"/>
      <c r="F108" s="581"/>
      <c r="G108" s="581"/>
      <c r="H108" s="581"/>
      <c r="I108" s="581"/>
      <c r="J108" s="581"/>
      <c r="K108" s="581"/>
      <c r="L108" s="582"/>
      <c r="M108" s="496" t="s">
        <v>96</v>
      </c>
      <c r="N108" s="496"/>
      <c r="O108" s="181">
        <f>+O100+O95+O75+O37+O16</f>
        <v>2349072.5300000003</v>
      </c>
      <c r="P108" s="239">
        <f>+P100+P95+P75+P37+P16</f>
        <v>9710324.2300000004</v>
      </c>
      <c r="Q108" s="239">
        <f>+Q95+Q75+Q37+Q16</f>
        <v>7361251.6999999993</v>
      </c>
    </row>
    <row r="109" spans="1:19" ht="17.25" thickTop="1" x14ac:dyDescent="0.25">
      <c r="A109" s="90"/>
      <c r="B109" s="90"/>
      <c r="C109" s="90"/>
      <c r="D109" s="90"/>
      <c r="E109" s="90"/>
      <c r="F109" s="90"/>
      <c r="G109" s="90"/>
      <c r="H109" s="85"/>
      <c r="I109" s="85"/>
      <c r="J109" s="85"/>
      <c r="K109" s="85"/>
      <c r="L109" s="85"/>
      <c r="M109" s="85"/>
      <c r="N109" s="85"/>
      <c r="O109" s="187"/>
      <c r="P109" s="92"/>
      <c r="Q109" s="291"/>
    </row>
    <row r="110" spans="1:19" ht="16.5" x14ac:dyDescent="0.25">
      <c r="A110" s="90"/>
      <c r="B110" s="90"/>
      <c r="C110" s="90"/>
      <c r="D110" s="90"/>
      <c r="E110" s="90"/>
      <c r="F110" s="90"/>
      <c r="G110" s="90"/>
      <c r="H110" s="85"/>
      <c r="I110" s="85"/>
      <c r="J110" s="85"/>
      <c r="K110" s="85"/>
      <c r="L110" s="85"/>
      <c r="M110" s="85"/>
      <c r="N110" s="85"/>
      <c r="O110" s="85"/>
      <c r="P110" s="91"/>
      <c r="Q110" s="92"/>
    </row>
    <row r="111" spans="1:19" ht="16.5" x14ac:dyDescent="0.25">
      <c r="A111" s="90"/>
      <c r="B111" s="90"/>
      <c r="C111" s="90"/>
      <c r="D111" s="90"/>
      <c r="E111" s="90"/>
      <c r="F111" s="90"/>
      <c r="G111" s="90"/>
      <c r="H111" s="85"/>
      <c r="I111" s="85"/>
      <c r="J111" s="85"/>
      <c r="K111" s="85"/>
      <c r="L111" s="85"/>
      <c r="M111" s="85"/>
      <c r="N111" s="85"/>
      <c r="O111" s="85"/>
      <c r="P111" s="91"/>
      <c r="Q111" s="92"/>
    </row>
    <row r="112" spans="1:19" ht="16.5" x14ac:dyDescent="0.25">
      <c r="A112" s="90"/>
      <c r="B112" s="90"/>
      <c r="C112" s="90"/>
      <c r="D112" s="90"/>
      <c r="E112" s="90"/>
      <c r="F112" s="90"/>
      <c r="G112" s="90"/>
      <c r="H112" s="85"/>
      <c r="I112" s="85"/>
      <c r="J112" s="85"/>
      <c r="K112" s="85"/>
      <c r="L112" s="85"/>
      <c r="M112" s="85"/>
      <c r="N112" s="85"/>
      <c r="O112" s="85"/>
      <c r="P112" s="91"/>
      <c r="Q112" s="92"/>
    </row>
    <row r="113" spans="1:17" ht="16.5" x14ac:dyDescent="0.25">
      <c r="A113" s="222"/>
      <c r="B113" s="222"/>
      <c r="C113" s="222"/>
      <c r="D113" s="222"/>
      <c r="E113" s="222"/>
      <c r="F113" s="222"/>
      <c r="G113" s="222"/>
      <c r="H113" s="93"/>
      <c r="I113" s="85"/>
      <c r="J113" s="85"/>
      <c r="K113" s="85"/>
      <c r="L113" s="85"/>
      <c r="M113" s="85"/>
      <c r="N113" s="93"/>
      <c r="O113" s="93"/>
      <c r="P113" s="94"/>
      <c r="Q113" s="95"/>
    </row>
    <row r="114" spans="1:17" ht="16.5" x14ac:dyDescent="0.25">
      <c r="A114" s="526" t="s">
        <v>97</v>
      </c>
      <c r="B114" s="526"/>
      <c r="C114" s="526"/>
      <c r="D114" s="526"/>
      <c r="E114" s="526"/>
      <c r="F114" s="526"/>
      <c r="G114" s="526"/>
      <c r="H114" s="526"/>
      <c r="I114" s="526"/>
      <c r="J114" s="85"/>
      <c r="K114" s="85"/>
      <c r="L114" s="85"/>
      <c r="M114" s="85"/>
      <c r="N114" s="497" t="s">
        <v>98</v>
      </c>
      <c r="O114" s="543" t="s">
        <v>99</v>
      </c>
      <c r="P114" s="543"/>
      <c r="Q114" s="543"/>
    </row>
    <row r="115" spans="1:17" ht="16.5" x14ac:dyDescent="0.25">
      <c r="A115" s="497"/>
      <c r="B115" s="497"/>
      <c r="C115" s="497"/>
      <c r="D115" s="497"/>
      <c r="E115" s="497"/>
      <c r="F115" s="497"/>
      <c r="G115" s="497"/>
      <c r="H115" s="497"/>
      <c r="I115" s="497"/>
      <c r="J115" s="497"/>
      <c r="K115" s="497"/>
      <c r="L115" s="497"/>
      <c r="M115" s="497"/>
      <c r="N115" s="497"/>
      <c r="O115" s="96"/>
      <c r="P115" s="97"/>
      <c r="Q115" s="97"/>
    </row>
    <row r="116" spans="1:17" ht="16.5" x14ac:dyDescent="0.25">
      <c r="A116" s="497"/>
      <c r="B116" s="497"/>
      <c r="C116" s="497"/>
      <c r="D116" s="497"/>
      <c r="E116" s="497"/>
      <c r="F116" s="497"/>
      <c r="G116" s="497"/>
      <c r="H116" s="497"/>
      <c r="I116" s="497"/>
      <c r="J116" s="497"/>
      <c r="K116" s="497"/>
      <c r="L116" s="497"/>
      <c r="M116" s="497"/>
      <c r="N116" s="497"/>
      <c r="O116" s="96"/>
      <c r="P116" s="97"/>
      <c r="Q116" s="97"/>
    </row>
    <row r="117" spans="1:17" ht="16.5" x14ac:dyDescent="0.25">
      <c r="A117" s="497"/>
      <c r="B117" s="497"/>
      <c r="C117" s="497"/>
      <c r="D117" s="497"/>
      <c r="E117" s="497"/>
      <c r="F117" s="497"/>
      <c r="G117" s="497"/>
      <c r="H117" s="497"/>
      <c r="I117" s="497"/>
      <c r="J117" s="497"/>
      <c r="K117" s="497"/>
      <c r="L117" s="497"/>
      <c r="M117" s="497"/>
      <c r="N117" s="497"/>
      <c r="O117" s="96"/>
      <c r="P117" s="97"/>
      <c r="Q117" s="97"/>
    </row>
    <row r="118" spans="1:17" ht="16.5" x14ac:dyDescent="0.25">
      <c r="A118" s="543"/>
      <c r="B118" s="543"/>
      <c r="C118" s="543"/>
      <c r="D118" s="543"/>
      <c r="E118" s="543"/>
      <c r="F118" s="223"/>
      <c r="G118" s="223"/>
      <c r="H118" s="223"/>
      <c r="I118" s="224"/>
      <c r="J118" s="224"/>
      <c r="K118" s="224"/>
      <c r="L118" s="224"/>
      <c r="M118" s="224"/>
      <c r="N118" s="224"/>
      <c r="O118" s="96"/>
      <c r="P118" s="97"/>
      <c r="Q118" s="97"/>
    </row>
    <row r="119" spans="1:17" ht="16.5" x14ac:dyDescent="0.25">
      <c r="A119" s="498"/>
      <c r="B119" s="498"/>
      <c r="C119" s="498"/>
      <c r="D119" s="498"/>
      <c r="E119" s="498"/>
      <c r="F119" s="225"/>
      <c r="G119" s="225"/>
      <c r="H119" s="225"/>
      <c r="I119" s="498"/>
      <c r="J119" s="498"/>
      <c r="K119" s="498"/>
      <c r="L119" s="498"/>
      <c r="M119" s="498"/>
      <c r="N119" s="498"/>
      <c r="O119" s="498"/>
      <c r="P119" s="498"/>
      <c r="Q119" s="498"/>
    </row>
    <row r="120" spans="1:17" ht="16.5" x14ac:dyDescent="0.25">
      <c r="A120" s="498"/>
      <c r="B120" s="498"/>
      <c r="C120" s="498"/>
      <c r="D120" s="498"/>
      <c r="E120" s="498"/>
      <c r="F120" s="225"/>
      <c r="G120" s="225"/>
      <c r="H120" s="225"/>
      <c r="I120" s="498"/>
      <c r="J120" s="498"/>
      <c r="K120" s="498"/>
      <c r="L120" s="498"/>
      <c r="M120" s="498"/>
      <c r="N120" s="498"/>
      <c r="O120" s="498"/>
      <c r="P120" s="498"/>
      <c r="Q120" s="498"/>
    </row>
    <row r="121" spans="1:17" ht="16.5" x14ac:dyDescent="0.25">
      <c r="A121" s="498"/>
      <c r="B121" s="498"/>
      <c r="C121" s="498"/>
      <c r="D121" s="498"/>
      <c r="E121" s="498"/>
      <c r="F121" s="225"/>
      <c r="G121" s="225"/>
      <c r="H121" s="225"/>
      <c r="I121" s="498"/>
      <c r="J121" s="498"/>
      <c r="K121" s="498"/>
      <c r="L121" s="498"/>
      <c r="M121" s="498"/>
      <c r="N121" s="498"/>
      <c r="O121" s="498"/>
      <c r="P121" s="498"/>
      <c r="Q121" s="498"/>
    </row>
    <row r="122" spans="1:17" ht="16.5" x14ac:dyDescent="0.25">
      <c r="A122" s="498"/>
      <c r="B122" s="498"/>
      <c r="C122" s="498"/>
      <c r="D122" s="498"/>
      <c r="E122" s="498"/>
      <c r="F122" s="225"/>
      <c r="G122" s="225"/>
      <c r="H122" s="225"/>
      <c r="I122" s="498"/>
      <c r="J122" s="498"/>
      <c r="K122" s="498"/>
      <c r="L122" s="498"/>
      <c r="M122" s="498"/>
      <c r="N122" s="498"/>
      <c r="O122" s="498"/>
      <c r="P122" s="498"/>
      <c r="Q122" s="498"/>
    </row>
    <row r="123" spans="1:17" ht="17.25" thickBot="1" x14ac:dyDescent="0.3">
      <c r="A123" s="90"/>
      <c r="B123" s="90"/>
      <c r="C123" s="90"/>
      <c r="D123" s="90"/>
      <c r="E123" s="90"/>
      <c r="F123" s="90"/>
      <c r="G123" s="90"/>
      <c r="H123" s="85"/>
      <c r="I123" s="85"/>
      <c r="J123" s="85"/>
      <c r="K123" s="85"/>
      <c r="L123" s="85"/>
      <c r="M123" s="85"/>
      <c r="N123" s="85"/>
      <c r="O123" s="85"/>
      <c r="P123" s="91"/>
      <c r="Q123" s="92"/>
    </row>
    <row r="124" spans="1:17" ht="15.75" thickBot="1" x14ac:dyDescent="0.25">
      <c r="A124" s="544">
        <v>2</v>
      </c>
      <c r="B124" s="545"/>
      <c r="C124" s="545"/>
      <c r="D124" s="545"/>
      <c r="E124" s="545"/>
      <c r="F124" s="545"/>
      <c r="G124" s="545"/>
      <c r="H124" s="545"/>
      <c r="I124" s="545"/>
      <c r="J124" s="545"/>
      <c r="K124" s="545"/>
      <c r="L124" s="545"/>
      <c r="M124" s="545"/>
      <c r="N124" s="545"/>
      <c r="O124" s="545"/>
      <c r="P124" s="545"/>
      <c r="Q124" s="546"/>
    </row>
    <row r="125" spans="1:17" ht="15.75" x14ac:dyDescent="0.25">
      <c r="A125" s="568" t="s">
        <v>0</v>
      </c>
      <c r="B125" s="569"/>
      <c r="C125" s="569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9"/>
      <c r="P125" s="569"/>
      <c r="Q125" s="570"/>
    </row>
    <row r="126" spans="1:17" ht="15" x14ac:dyDescent="0.2">
      <c r="A126" s="60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2"/>
      <c r="Q126" s="63" t="s">
        <v>1</v>
      </c>
    </row>
    <row r="127" spans="1:17" ht="15.75" x14ac:dyDescent="0.25">
      <c r="A127" s="64" t="s">
        <v>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5"/>
      <c r="P127" s="66" t="s">
        <v>3</v>
      </c>
      <c r="Q127" s="67"/>
    </row>
    <row r="128" spans="1:17" ht="15.75" x14ac:dyDescent="0.25">
      <c r="A128" s="64" t="s">
        <v>4</v>
      </c>
      <c r="B128" s="61"/>
      <c r="C128" s="61">
        <v>5120</v>
      </c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8"/>
      <c r="P128" s="69" t="s">
        <v>5</v>
      </c>
      <c r="Q128" s="70"/>
    </row>
    <row r="129" spans="1:17" ht="15.75" x14ac:dyDescent="0.25">
      <c r="A129" s="64" t="s">
        <v>6</v>
      </c>
      <c r="B129" s="68"/>
      <c r="C129" s="68" t="s">
        <v>7</v>
      </c>
      <c r="D129" s="68"/>
      <c r="E129" s="68"/>
      <c r="F129" s="61"/>
      <c r="G129" s="61"/>
      <c r="H129" s="61"/>
      <c r="I129" s="61"/>
      <c r="J129" s="61"/>
      <c r="K129" s="61"/>
      <c r="L129" s="61"/>
      <c r="M129" s="61"/>
      <c r="N129" s="61"/>
      <c r="O129" s="68"/>
      <c r="P129" s="69" t="s">
        <v>8</v>
      </c>
      <c r="Q129" s="70"/>
    </row>
    <row r="130" spans="1:17" ht="15.75" x14ac:dyDescent="0.25">
      <c r="A130" s="64" t="s">
        <v>9</v>
      </c>
      <c r="B130" s="68">
        <v>2016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8"/>
      <c r="P130" s="71" t="s">
        <v>10</v>
      </c>
      <c r="Q130" s="72"/>
    </row>
    <row r="131" spans="1:17" ht="15.75" thickBot="1" x14ac:dyDescent="0.25">
      <c r="A131" s="60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226"/>
    </row>
    <row r="132" spans="1:17" ht="15.75" x14ac:dyDescent="0.25">
      <c r="A132" s="550" t="s">
        <v>11</v>
      </c>
      <c r="B132" s="551"/>
      <c r="C132" s="551"/>
      <c r="D132" s="551"/>
      <c r="E132" s="551"/>
      <c r="F132" s="551"/>
      <c r="G132" s="551"/>
      <c r="H132" s="551"/>
      <c r="I132" s="551"/>
      <c r="J132" s="551"/>
      <c r="K132" s="551"/>
      <c r="L132" s="551"/>
      <c r="M132" s="493"/>
      <c r="N132" s="493"/>
      <c r="O132" s="553" t="s">
        <v>12</v>
      </c>
      <c r="P132" s="551"/>
      <c r="Q132" s="554"/>
    </row>
    <row r="133" spans="1:17" ht="15.75" x14ac:dyDescent="0.25">
      <c r="A133" s="227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228"/>
      <c r="P133" s="61"/>
      <c r="Q133" s="226"/>
    </row>
    <row r="134" spans="1:17" ht="15.75" x14ac:dyDescent="0.25">
      <c r="A134" s="555">
        <v>2</v>
      </c>
      <c r="B134" s="556"/>
      <c r="C134" s="556"/>
      <c r="D134" s="556"/>
      <c r="E134" s="556"/>
      <c r="F134" s="556"/>
      <c r="G134" s="557"/>
      <c r="H134" s="78" t="s">
        <v>13</v>
      </c>
      <c r="I134" s="79"/>
      <c r="J134" s="79"/>
      <c r="K134" s="79"/>
      <c r="L134" s="79"/>
      <c r="M134" s="79"/>
      <c r="N134" s="79"/>
      <c r="O134" s="80" t="s">
        <v>14</v>
      </c>
      <c r="P134" s="80" t="s">
        <v>15</v>
      </c>
      <c r="Q134" s="84" t="s">
        <v>16</v>
      </c>
    </row>
    <row r="135" spans="1:17" ht="15" x14ac:dyDescent="0.2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228"/>
      <c r="P135" s="229"/>
      <c r="Q135" s="226"/>
    </row>
    <row r="136" spans="1:17" ht="15.75" x14ac:dyDescent="0.25">
      <c r="A136" s="558" t="s">
        <v>17</v>
      </c>
      <c r="B136" s="494" t="s">
        <v>18</v>
      </c>
      <c r="C136" s="560" t="s">
        <v>19</v>
      </c>
      <c r="D136" s="494" t="s">
        <v>20</v>
      </c>
      <c r="E136" s="494" t="s">
        <v>21</v>
      </c>
      <c r="F136" s="560" t="s">
        <v>22</v>
      </c>
      <c r="G136" s="560" t="s">
        <v>23</v>
      </c>
      <c r="H136" s="560" t="s">
        <v>24</v>
      </c>
      <c r="I136" s="560" t="s">
        <v>25</v>
      </c>
      <c r="J136" s="494"/>
      <c r="K136" s="494" t="s">
        <v>18</v>
      </c>
      <c r="L136" s="494"/>
      <c r="M136" s="494"/>
      <c r="N136" s="494"/>
      <c r="O136" s="564">
        <v>3</v>
      </c>
      <c r="P136" s="564">
        <v>4</v>
      </c>
      <c r="Q136" s="566">
        <v>5</v>
      </c>
    </row>
    <row r="137" spans="1:17" ht="16.5" thickBot="1" x14ac:dyDescent="0.3">
      <c r="A137" s="532"/>
      <c r="B137" s="499" t="s">
        <v>17</v>
      </c>
      <c r="C137" s="534"/>
      <c r="D137" s="499" t="s">
        <v>26</v>
      </c>
      <c r="E137" s="499" t="s">
        <v>27</v>
      </c>
      <c r="F137" s="534"/>
      <c r="G137" s="534"/>
      <c r="H137" s="534"/>
      <c r="I137" s="534"/>
      <c r="J137" s="499" t="s">
        <v>28</v>
      </c>
      <c r="K137" s="499" t="s">
        <v>28</v>
      </c>
      <c r="L137" s="499" t="s">
        <v>29</v>
      </c>
      <c r="M137" s="499" t="s">
        <v>29</v>
      </c>
      <c r="N137" s="499" t="s">
        <v>30</v>
      </c>
      <c r="O137" s="538"/>
      <c r="P137" s="538"/>
      <c r="Q137" s="540"/>
    </row>
    <row r="138" spans="1:17" ht="16.5" x14ac:dyDescent="0.25">
      <c r="A138" s="127"/>
      <c r="B138" s="128"/>
      <c r="C138" s="102"/>
      <c r="D138" s="128"/>
      <c r="E138" s="102"/>
      <c r="F138" s="128"/>
      <c r="G138" s="102"/>
      <c r="H138" s="429"/>
      <c r="I138" s="430"/>
      <c r="J138" s="429"/>
      <c r="K138" s="430"/>
      <c r="L138" s="429"/>
      <c r="M138" s="430"/>
      <c r="N138" s="429"/>
      <c r="O138" s="431"/>
      <c r="P138" s="432"/>
      <c r="Q138" s="433"/>
    </row>
    <row r="139" spans="1:17" ht="16.5" x14ac:dyDescent="0.25">
      <c r="A139" s="196"/>
      <c r="B139" s="129"/>
      <c r="C139" s="497"/>
      <c r="D139" s="129"/>
      <c r="E139" s="497"/>
      <c r="F139" s="129"/>
      <c r="G139" s="497"/>
      <c r="H139" s="434">
        <v>2</v>
      </c>
      <c r="I139" s="435">
        <v>1</v>
      </c>
      <c r="J139" s="434"/>
      <c r="K139" s="435"/>
      <c r="L139" s="434"/>
      <c r="M139" s="435"/>
      <c r="N139" s="417" t="s">
        <v>33</v>
      </c>
      <c r="O139" s="301">
        <f>+P139-Q139</f>
        <v>12503.709999999963</v>
      </c>
      <c r="P139" s="300">
        <f>+P141+P144+P147</f>
        <v>1160500</v>
      </c>
      <c r="Q139" s="300">
        <f>+Q141+Q144+Q147</f>
        <v>1147996.29</v>
      </c>
    </row>
    <row r="140" spans="1:17" ht="16.5" x14ac:dyDescent="0.25">
      <c r="A140" s="196"/>
      <c r="B140" s="129"/>
      <c r="C140" s="497"/>
      <c r="D140" s="129"/>
      <c r="E140" s="497"/>
      <c r="F140" s="129"/>
      <c r="G140" s="497"/>
      <c r="H140" s="434"/>
      <c r="I140" s="435"/>
      <c r="J140" s="434"/>
      <c r="K140" s="435"/>
      <c r="L140" s="434"/>
      <c r="M140" s="435"/>
      <c r="N140" s="434"/>
      <c r="O140" s="436"/>
      <c r="P140" s="437"/>
      <c r="Q140" s="300"/>
    </row>
    <row r="141" spans="1:17" ht="16.5" x14ac:dyDescent="0.25">
      <c r="A141" s="196"/>
      <c r="B141" s="129"/>
      <c r="C141" s="497"/>
      <c r="D141" s="129"/>
      <c r="E141" s="497"/>
      <c r="F141" s="129"/>
      <c r="G141" s="497"/>
      <c r="H141" s="484">
        <v>2</v>
      </c>
      <c r="I141" s="438">
        <v>1</v>
      </c>
      <c r="J141" s="439">
        <v>1</v>
      </c>
      <c r="K141" s="439"/>
      <c r="L141" s="417"/>
      <c r="M141" s="418"/>
      <c r="N141" s="417" t="s">
        <v>35</v>
      </c>
      <c r="O141" s="436"/>
      <c r="P141" s="300">
        <f>+P142</f>
        <v>1075000</v>
      </c>
      <c r="Q141" s="300">
        <f>+Q142</f>
        <v>1075000</v>
      </c>
    </row>
    <row r="142" spans="1:17" ht="16.5" x14ac:dyDescent="0.25">
      <c r="A142" s="196"/>
      <c r="B142" s="129"/>
      <c r="C142" s="497"/>
      <c r="D142" s="129"/>
      <c r="E142" s="497"/>
      <c r="F142" s="129"/>
      <c r="G142" s="90">
        <v>100</v>
      </c>
      <c r="H142" s="440">
        <v>2</v>
      </c>
      <c r="I142" s="441">
        <v>1</v>
      </c>
      <c r="J142" s="440">
        <v>1</v>
      </c>
      <c r="K142" s="441">
        <v>1</v>
      </c>
      <c r="L142" s="440">
        <v>0</v>
      </c>
      <c r="M142" s="441">
        <v>1</v>
      </c>
      <c r="N142" s="442" t="s">
        <v>100</v>
      </c>
      <c r="O142" s="436"/>
      <c r="P142" s="294">
        <f>277000+798000</f>
        <v>1075000</v>
      </c>
      <c r="Q142" s="294">
        <f>277000+798000</f>
        <v>1075000</v>
      </c>
    </row>
    <row r="143" spans="1:17" ht="16.5" x14ac:dyDescent="0.25">
      <c r="A143" s="196"/>
      <c r="B143" s="129"/>
      <c r="C143" s="497"/>
      <c r="D143" s="129"/>
      <c r="E143" s="497"/>
      <c r="F143" s="129"/>
      <c r="G143" s="90"/>
      <c r="H143" s="440"/>
      <c r="I143" s="441"/>
      <c r="J143" s="440"/>
      <c r="K143" s="441"/>
      <c r="L143" s="440"/>
      <c r="M143" s="441"/>
      <c r="N143" s="442"/>
      <c r="O143" s="436"/>
      <c r="P143" s="294"/>
      <c r="Q143" s="294"/>
    </row>
    <row r="144" spans="1:17" ht="16.5" x14ac:dyDescent="0.25">
      <c r="A144" s="196"/>
      <c r="B144" s="129"/>
      <c r="C144" s="497"/>
      <c r="D144" s="129"/>
      <c r="E144" s="497"/>
      <c r="F144" s="129"/>
      <c r="G144" s="90"/>
      <c r="H144" s="434">
        <v>2</v>
      </c>
      <c r="I144" s="435">
        <v>1</v>
      </c>
      <c r="J144" s="434">
        <v>2</v>
      </c>
      <c r="K144" s="441"/>
      <c r="L144" s="440"/>
      <c r="M144" s="441"/>
      <c r="N144" s="443" t="s">
        <v>101</v>
      </c>
      <c r="O144" s="436"/>
      <c r="P144" s="300">
        <f>+P145</f>
        <v>80500</v>
      </c>
      <c r="Q144" s="300">
        <f>+Q145</f>
        <v>68496.290000000008</v>
      </c>
    </row>
    <row r="145" spans="1:17" ht="16.5" x14ac:dyDescent="0.25">
      <c r="A145" s="196"/>
      <c r="B145" s="129"/>
      <c r="C145" s="497"/>
      <c r="D145" s="129"/>
      <c r="E145" s="497"/>
      <c r="F145" s="129"/>
      <c r="G145" s="90">
        <v>9995</v>
      </c>
      <c r="H145" s="440">
        <v>2</v>
      </c>
      <c r="I145" s="441">
        <v>1</v>
      </c>
      <c r="J145" s="440">
        <v>2</v>
      </c>
      <c r="K145" s="441">
        <v>2</v>
      </c>
      <c r="L145" s="440">
        <v>0</v>
      </c>
      <c r="M145" s="441">
        <v>8</v>
      </c>
      <c r="N145" s="444" t="s">
        <v>102</v>
      </c>
      <c r="O145" s="436"/>
      <c r="P145" s="294">
        <f>34500+46000</f>
        <v>80500</v>
      </c>
      <c r="Q145" s="294">
        <f>28818.36+39677.93</f>
        <v>68496.290000000008</v>
      </c>
    </row>
    <row r="146" spans="1:17" ht="16.5" x14ac:dyDescent="0.25">
      <c r="A146" s="196"/>
      <c r="B146" s="129"/>
      <c r="C146" s="497"/>
      <c r="D146" s="129"/>
      <c r="E146" s="497"/>
      <c r="F146" s="129"/>
      <c r="G146" s="497"/>
      <c r="H146" s="434"/>
      <c r="I146" s="435"/>
      <c r="J146" s="434"/>
      <c r="K146" s="435"/>
      <c r="L146" s="434"/>
      <c r="M146" s="435"/>
      <c r="N146" s="434"/>
      <c r="O146" s="436"/>
      <c r="P146" s="294"/>
      <c r="Q146" s="294"/>
    </row>
    <row r="147" spans="1:17" ht="16.5" x14ac:dyDescent="0.25">
      <c r="A147" s="196"/>
      <c r="B147" s="129"/>
      <c r="C147" s="497"/>
      <c r="D147" s="129"/>
      <c r="E147" s="497"/>
      <c r="F147" s="129"/>
      <c r="G147" s="497"/>
      <c r="H147" s="434">
        <v>2</v>
      </c>
      <c r="I147" s="435">
        <v>1</v>
      </c>
      <c r="J147" s="434">
        <v>4</v>
      </c>
      <c r="K147" s="435"/>
      <c r="L147" s="434"/>
      <c r="M147" s="435"/>
      <c r="N147" s="443" t="s">
        <v>103</v>
      </c>
      <c r="O147" s="436"/>
      <c r="P147" s="300">
        <f>+P148</f>
        <v>5000</v>
      </c>
      <c r="Q147" s="300">
        <f>+Q148</f>
        <v>4500</v>
      </c>
    </row>
    <row r="148" spans="1:17" ht="16.5" x14ac:dyDescent="0.25">
      <c r="A148" s="196"/>
      <c r="B148" s="129"/>
      <c r="C148" s="497"/>
      <c r="D148" s="129"/>
      <c r="E148" s="497"/>
      <c r="F148" s="129"/>
      <c r="G148" s="90">
        <v>9995</v>
      </c>
      <c r="H148" s="440">
        <v>2</v>
      </c>
      <c r="I148" s="441">
        <v>1</v>
      </c>
      <c r="J148" s="440">
        <v>4</v>
      </c>
      <c r="K148" s="441">
        <v>2</v>
      </c>
      <c r="L148" s="440">
        <v>0</v>
      </c>
      <c r="M148" s="441">
        <v>2</v>
      </c>
      <c r="N148" s="444" t="s">
        <v>104</v>
      </c>
      <c r="O148" s="436"/>
      <c r="P148" s="294">
        <v>5000</v>
      </c>
      <c r="Q148" s="294">
        <v>4500</v>
      </c>
    </row>
    <row r="149" spans="1:17" ht="16.5" x14ac:dyDescent="0.25">
      <c r="A149" s="196"/>
      <c r="B149" s="129"/>
      <c r="C149" s="497"/>
      <c r="D149" s="129"/>
      <c r="E149" s="497"/>
      <c r="F149" s="129"/>
      <c r="G149" s="497"/>
      <c r="H149" s="434"/>
      <c r="I149" s="435"/>
      <c r="J149" s="434"/>
      <c r="K149" s="435"/>
      <c r="L149" s="434"/>
      <c r="M149" s="435"/>
      <c r="N149" s="434"/>
      <c r="O149" s="436"/>
      <c r="P149" s="437"/>
      <c r="Q149" s="300"/>
    </row>
    <row r="150" spans="1:17" ht="16.5" x14ac:dyDescent="0.25">
      <c r="A150" s="114">
        <v>11</v>
      </c>
      <c r="B150" s="113" t="s">
        <v>31</v>
      </c>
      <c r="C150" s="85" t="s">
        <v>31</v>
      </c>
      <c r="D150" s="174">
        <v>0.2</v>
      </c>
      <c r="E150" s="85" t="s">
        <v>32</v>
      </c>
      <c r="F150" s="113" t="s">
        <v>34</v>
      </c>
      <c r="G150" s="497"/>
      <c r="H150" s="417">
        <v>2</v>
      </c>
      <c r="I150" s="418">
        <v>2</v>
      </c>
      <c r="J150" s="417"/>
      <c r="K150" s="418"/>
      <c r="L150" s="417"/>
      <c r="M150" s="418"/>
      <c r="N150" s="417" t="s">
        <v>50</v>
      </c>
      <c r="O150" s="291">
        <f>+P150-Q150</f>
        <v>0</v>
      </c>
      <c r="P150" s="292">
        <f>+P152+P155+P158</f>
        <v>71423.38</v>
      </c>
      <c r="Q150" s="292">
        <f>+Q152+Q155+Q158</f>
        <v>71423.38</v>
      </c>
    </row>
    <row r="151" spans="1:17" ht="16.5" x14ac:dyDescent="0.25">
      <c r="A151" s="196"/>
      <c r="B151" s="129"/>
      <c r="C151" s="497"/>
      <c r="D151" s="129"/>
      <c r="E151" s="497"/>
      <c r="F151" s="112"/>
      <c r="G151" s="90"/>
      <c r="H151" s="417"/>
      <c r="I151" s="418"/>
      <c r="J151" s="417"/>
      <c r="K151" s="418"/>
      <c r="L151" s="417"/>
      <c r="M151" s="418"/>
      <c r="N151" s="417"/>
      <c r="O151" s="436"/>
      <c r="P151" s="437"/>
      <c r="Q151" s="300"/>
    </row>
    <row r="152" spans="1:17" ht="16.5" x14ac:dyDescent="0.25">
      <c r="A152" s="196"/>
      <c r="B152" s="113" t="s">
        <v>31</v>
      </c>
      <c r="C152" s="85" t="s">
        <v>31</v>
      </c>
      <c r="D152" s="129"/>
      <c r="E152" s="85" t="s">
        <v>32</v>
      </c>
      <c r="F152" s="113" t="s">
        <v>34</v>
      </c>
      <c r="G152" s="90"/>
      <c r="H152" s="417">
        <v>2</v>
      </c>
      <c r="I152" s="418">
        <v>2</v>
      </c>
      <c r="J152" s="417">
        <v>3</v>
      </c>
      <c r="K152" s="418"/>
      <c r="L152" s="417"/>
      <c r="M152" s="418"/>
      <c r="N152" s="417" t="s">
        <v>62</v>
      </c>
      <c r="O152" s="295"/>
      <c r="P152" s="300">
        <f>+P153</f>
        <v>55950</v>
      </c>
      <c r="Q152" s="300">
        <f>+Q153</f>
        <v>55950</v>
      </c>
    </row>
    <row r="153" spans="1:17" ht="16.5" x14ac:dyDescent="0.25">
      <c r="A153" s="196"/>
      <c r="B153" s="129"/>
      <c r="C153" s="497"/>
      <c r="D153" s="129"/>
      <c r="E153" s="497"/>
      <c r="F153" s="112"/>
      <c r="G153" s="90">
        <v>9995</v>
      </c>
      <c r="H153" s="445">
        <v>2</v>
      </c>
      <c r="I153" s="446">
        <v>2</v>
      </c>
      <c r="J153" s="445">
        <v>3</v>
      </c>
      <c r="K153" s="446">
        <v>1</v>
      </c>
      <c r="L153" s="445">
        <v>0</v>
      </c>
      <c r="M153" s="446">
        <v>1</v>
      </c>
      <c r="N153" s="445" t="s">
        <v>63</v>
      </c>
      <c r="O153" s="295"/>
      <c r="P153" s="294">
        <f>2400+6300+7500+3900+1050+1050+1050+1050+2100+1050+2400+6300+7500+3900+1050+1050+1050+1050+2100+1050+1050</f>
        <v>55950</v>
      </c>
      <c r="Q153" s="294">
        <f>2400+6300+7500+3900+1050+1050+1050+1050+2100+1050+2400+6300+7500+3900+1050+1050+1050+1050+2100+1050+1050</f>
        <v>55950</v>
      </c>
    </row>
    <row r="154" spans="1:17" ht="16.5" x14ac:dyDescent="0.25">
      <c r="A154" s="196"/>
      <c r="B154" s="129"/>
      <c r="C154" s="497"/>
      <c r="D154" s="129"/>
      <c r="E154" s="497"/>
      <c r="F154" s="112"/>
      <c r="G154" s="90"/>
      <c r="H154" s="445"/>
      <c r="I154" s="446"/>
      <c r="J154" s="445"/>
      <c r="K154" s="446"/>
      <c r="L154" s="445"/>
      <c r="M154" s="446"/>
      <c r="N154" s="445"/>
      <c r="O154" s="295"/>
      <c r="P154" s="294"/>
      <c r="Q154" s="294"/>
    </row>
    <row r="155" spans="1:17" ht="16.5" x14ac:dyDescent="0.25">
      <c r="A155" s="196"/>
      <c r="B155" s="113" t="s">
        <v>31</v>
      </c>
      <c r="C155" s="85" t="s">
        <v>31</v>
      </c>
      <c r="D155" s="129"/>
      <c r="E155" s="85" t="s">
        <v>32</v>
      </c>
      <c r="F155" s="113" t="s">
        <v>34</v>
      </c>
      <c r="G155" s="90"/>
      <c r="H155" s="417">
        <v>2</v>
      </c>
      <c r="I155" s="418">
        <v>2</v>
      </c>
      <c r="J155" s="417">
        <v>4</v>
      </c>
      <c r="K155" s="418"/>
      <c r="L155" s="417"/>
      <c r="M155" s="418"/>
      <c r="N155" s="417" t="s">
        <v>105</v>
      </c>
      <c r="O155" s="295"/>
      <c r="P155" s="300">
        <f>+P156</f>
        <v>2100</v>
      </c>
      <c r="Q155" s="300">
        <f>+Q156</f>
        <v>2100</v>
      </c>
    </row>
    <row r="156" spans="1:17" ht="16.5" x14ac:dyDescent="0.25">
      <c r="A156" s="196"/>
      <c r="B156" s="129"/>
      <c r="C156" s="497"/>
      <c r="D156" s="129"/>
      <c r="E156" s="497"/>
      <c r="F156" s="112"/>
      <c r="G156" s="90">
        <v>9995</v>
      </c>
      <c r="H156" s="445">
        <v>2</v>
      </c>
      <c r="I156" s="446">
        <v>2</v>
      </c>
      <c r="J156" s="445">
        <v>4</v>
      </c>
      <c r="K156" s="446">
        <v>4</v>
      </c>
      <c r="L156" s="445">
        <v>0</v>
      </c>
      <c r="M156" s="446">
        <v>1</v>
      </c>
      <c r="N156" s="445" t="s">
        <v>106</v>
      </c>
      <c r="O156" s="295"/>
      <c r="P156" s="294">
        <f>30+30+30+960+30+30+30+960</f>
        <v>2100</v>
      </c>
      <c r="Q156" s="294">
        <f>30+30+30+960+30+30+30+960</f>
        <v>2100</v>
      </c>
    </row>
    <row r="157" spans="1:17" ht="16.5" x14ac:dyDescent="0.25">
      <c r="A157" s="196"/>
      <c r="B157" s="129"/>
      <c r="C157" s="497"/>
      <c r="D157" s="129"/>
      <c r="E157" s="497"/>
      <c r="F157" s="112"/>
      <c r="G157" s="90"/>
      <c r="H157" s="445"/>
      <c r="I157" s="446"/>
      <c r="J157" s="445"/>
      <c r="K157" s="446"/>
      <c r="L157" s="445"/>
      <c r="M157" s="446"/>
      <c r="N157" s="445"/>
      <c r="O157" s="295"/>
      <c r="P157" s="294"/>
      <c r="Q157" s="294"/>
    </row>
    <row r="158" spans="1:17" ht="16.5" x14ac:dyDescent="0.25">
      <c r="A158" s="196"/>
      <c r="B158" s="129"/>
      <c r="C158" s="497"/>
      <c r="D158" s="129"/>
      <c r="E158" s="497"/>
      <c r="F158" s="112"/>
      <c r="G158" s="90"/>
      <c r="H158" s="417">
        <v>2</v>
      </c>
      <c r="I158" s="418">
        <v>2</v>
      </c>
      <c r="J158" s="417">
        <v>8</v>
      </c>
      <c r="K158" s="446"/>
      <c r="L158" s="445"/>
      <c r="M158" s="446"/>
      <c r="N158" s="417" t="s">
        <v>71</v>
      </c>
      <c r="O158" s="295"/>
      <c r="P158" s="300">
        <f>+P159</f>
        <v>13373.38</v>
      </c>
      <c r="Q158" s="300">
        <f>+Q159</f>
        <v>13373.38</v>
      </c>
    </row>
    <row r="159" spans="1:17" ht="16.5" x14ac:dyDescent="0.25">
      <c r="A159" s="196"/>
      <c r="B159" s="129"/>
      <c r="C159" s="497"/>
      <c r="D159" s="129"/>
      <c r="E159" s="497"/>
      <c r="F159" s="112"/>
      <c r="G159" s="90">
        <v>9995</v>
      </c>
      <c r="H159" s="445">
        <v>2</v>
      </c>
      <c r="I159" s="446">
        <v>2</v>
      </c>
      <c r="J159" s="445">
        <v>8</v>
      </c>
      <c r="K159" s="446">
        <v>2</v>
      </c>
      <c r="L159" s="445">
        <v>0</v>
      </c>
      <c r="M159" s="446">
        <v>1</v>
      </c>
      <c r="N159" s="445" t="s">
        <v>107</v>
      </c>
      <c r="O159" s="295"/>
      <c r="P159" s="294">
        <v>13373.38</v>
      </c>
      <c r="Q159" s="294">
        <v>13373.38</v>
      </c>
    </row>
    <row r="160" spans="1:17" ht="16.5" x14ac:dyDescent="0.25">
      <c r="A160" s="196"/>
      <c r="B160" s="129"/>
      <c r="C160" s="497"/>
      <c r="D160" s="129"/>
      <c r="E160" s="497"/>
      <c r="F160" s="112"/>
      <c r="G160" s="90"/>
      <c r="H160" s="445"/>
      <c r="I160" s="446"/>
      <c r="J160" s="445"/>
      <c r="K160" s="446"/>
      <c r="L160" s="445"/>
      <c r="M160" s="446"/>
      <c r="N160" s="445"/>
      <c r="O160" s="295"/>
      <c r="P160" s="294"/>
      <c r="Q160" s="294"/>
    </row>
    <row r="161" spans="1:17" ht="16.5" x14ac:dyDescent="0.25">
      <c r="A161" s="196"/>
      <c r="B161" s="129"/>
      <c r="C161" s="497"/>
      <c r="D161" s="129"/>
      <c r="E161" s="497"/>
      <c r="F161" s="112"/>
      <c r="G161" s="90"/>
      <c r="H161" s="417">
        <v>2</v>
      </c>
      <c r="I161" s="418">
        <v>3</v>
      </c>
      <c r="J161" s="445"/>
      <c r="K161" s="446"/>
      <c r="L161" s="445"/>
      <c r="M161" s="446"/>
      <c r="N161" s="417" t="s">
        <v>108</v>
      </c>
      <c r="O161" s="295">
        <f>+P161-Q161</f>
        <v>114545.84144699998</v>
      </c>
      <c r="P161" s="300">
        <f>+P163</f>
        <v>161253.19144699999</v>
      </c>
      <c r="Q161" s="300">
        <f>+Q163</f>
        <v>46707.350000000006</v>
      </c>
    </row>
    <row r="162" spans="1:17" ht="16.5" x14ac:dyDescent="0.25">
      <c r="A162" s="196"/>
      <c r="B162" s="129"/>
      <c r="C162" s="497"/>
      <c r="D162" s="129"/>
      <c r="E162" s="497"/>
      <c r="F162" s="112"/>
      <c r="G162" s="90"/>
      <c r="H162" s="445"/>
      <c r="I162" s="446"/>
      <c r="J162" s="445"/>
      <c r="K162" s="446"/>
      <c r="L162" s="445"/>
      <c r="M162" s="446"/>
      <c r="N162" s="445"/>
      <c r="O162" s="295"/>
      <c r="P162" s="294"/>
      <c r="Q162" s="294"/>
    </row>
    <row r="163" spans="1:17" ht="16.5" x14ac:dyDescent="0.25">
      <c r="A163" s="196"/>
      <c r="B163" s="129"/>
      <c r="C163" s="497"/>
      <c r="D163" s="129"/>
      <c r="E163" s="497"/>
      <c r="F163" s="112"/>
      <c r="G163" s="90"/>
      <c r="H163" s="417">
        <v>2</v>
      </c>
      <c r="I163" s="418">
        <v>3</v>
      </c>
      <c r="J163" s="417">
        <v>7</v>
      </c>
      <c r="K163" s="418"/>
      <c r="L163" s="417"/>
      <c r="M163" s="418"/>
      <c r="N163" s="447" t="s">
        <v>109</v>
      </c>
      <c r="O163" s="295"/>
      <c r="P163" s="300">
        <f>+P164+P165</f>
        <v>161253.19144699999</v>
      </c>
      <c r="Q163" s="300">
        <f>+Q164</f>
        <v>46707.350000000006</v>
      </c>
    </row>
    <row r="164" spans="1:17" ht="16.5" x14ac:dyDescent="0.25">
      <c r="A164" s="196"/>
      <c r="B164" s="129"/>
      <c r="C164" s="497"/>
      <c r="D164" s="129"/>
      <c r="E164" s="497"/>
      <c r="F164" s="112"/>
      <c r="G164" s="90">
        <v>9995</v>
      </c>
      <c r="H164" s="445">
        <v>2</v>
      </c>
      <c r="I164" s="446">
        <v>3</v>
      </c>
      <c r="J164" s="445">
        <v>7</v>
      </c>
      <c r="K164" s="446">
        <v>1</v>
      </c>
      <c r="L164" s="445">
        <v>0</v>
      </c>
      <c r="M164" s="446">
        <v>1</v>
      </c>
      <c r="N164" s="445" t="s">
        <v>110</v>
      </c>
      <c r="O164" s="295"/>
      <c r="P164" s="294">
        <f>2000+6000+2000+1500+2000+2000+6000+1500+2000+5122.821447+14471.58+7235.77</f>
        <v>51830.171447000001</v>
      </c>
      <c r="Q164" s="294">
        <f>2000+6000+2000+1500+2000+2000+6000+1500+2000+14471.58+7235.77</f>
        <v>46707.350000000006</v>
      </c>
    </row>
    <row r="165" spans="1:17" ht="16.5" x14ac:dyDescent="0.25">
      <c r="A165" s="196"/>
      <c r="B165" s="129"/>
      <c r="C165" s="497"/>
      <c r="D165" s="129"/>
      <c r="E165" s="497"/>
      <c r="F165" s="112"/>
      <c r="G165" s="90">
        <v>9995</v>
      </c>
      <c r="H165" s="445">
        <v>2</v>
      </c>
      <c r="I165" s="446">
        <v>3</v>
      </c>
      <c r="J165" s="445">
        <v>7</v>
      </c>
      <c r="K165" s="446">
        <v>2</v>
      </c>
      <c r="L165" s="445">
        <v>0</v>
      </c>
      <c r="M165" s="446">
        <v>1</v>
      </c>
      <c r="N165" s="445" t="s">
        <v>262</v>
      </c>
      <c r="O165" s="295"/>
      <c r="P165" s="294">
        <f>104300.2+5122.82</f>
        <v>109423.01999999999</v>
      </c>
      <c r="Q165" s="294"/>
    </row>
    <row r="166" spans="1:17" ht="16.5" x14ac:dyDescent="0.25">
      <c r="A166" s="196"/>
      <c r="B166" s="129"/>
      <c r="C166" s="497"/>
      <c r="D166" s="129"/>
      <c r="E166" s="497"/>
      <c r="F166" s="112"/>
      <c r="G166" s="90"/>
      <c r="H166" s="445"/>
      <c r="I166" s="446"/>
      <c r="J166" s="445"/>
      <c r="K166" s="446"/>
      <c r="L166" s="445"/>
      <c r="M166" s="446"/>
      <c r="N166" s="445"/>
      <c r="O166" s="295"/>
      <c r="P166" s="294"/>
      <c r="Q166" s="294"/>
    </row>
    <row r="167" spans="1:17" ht="16.5" x14ac:dyDescent="0.25">
      <c r="A167" s="196"/>
      <c r="B167" s="129"/>
      <c r="C167" s="497"/>
      <c r="D167" s="129"/>
      <c r="E167" s="497"/>
      <c r="F167" s="112"/>
      <c r="G167" s="90"/>
      <c r="H167" s="417">
        <v>2</v>
      </c>
      <c r="I167" s="418">
        <v>6</v>
      </c>
      <c r="J167" s="417"/>
      <c r="K167" s="418"/>
      <c r="L167" s="417"/>
      <c r="M167" s="418"/>
      <c r="N167" s="417" t="s">
        <v>90</v>
      </c>
      <c r="O167" s="301">
        <f>+P167-Q167</f>
        <v>0</v>
      </c>
      <c r="P167" s="300">
        <f>+P169</f>
        <v>2090.83</v>
      </c>
      <c r="Q167" s="300">
        <f>+Q169</f>
        <v>2090.83</v>
      </c>
    </row>
    <row r="168" spans="1:17" ht="16.5" x14ac:dyDescent="0.25">
      <c r="A168" s="196"/>
      <c r="B168" s="129"/>
      <c r="C168" s="497"/>
      <c r="D168" s="129"/>
      <c r="E168" s="497"/>
      <c r="F168" s="112"/>
      <c r="G168" s="90"/>
      <c r="H168" s="120"/>
      <c r="I168" s="88"/>
      <c r="J168" s="120"/>
      <c r="K168" s="88"/>
      <c r="L168" s="120"/>
      <c r="M168" s="88"/>
      <c r="N168" s="120"/>
      <c r="O168" s="201"/>
      <c r="P168" s="189"/>
      <c r="Q168" s="189"/>
    </row>
    <row r="169" spans="1:17" ht="16.5" x14ac:dyDescent="0.25">
      <c r="A169" s="196"/>
      <c r="B169" s="129"/>
      <c r="C169" s="497"/>
      <c r="D169" s="129"/>
      <c r="E169" s="497"/>
      <c r="F169" s="112"/>
      <c r="G169" s="90"/>
      <c r="H169" s="119">
        <v>2</v>
      </c>
      <c r="I169" s="87">
        <v>6</v>
      </c>
      <c r="J169" s="119">
        <v>1</v>
      </c>
      <c r="K169" s="88"/>
      <c r="L169" s="120"/>
      <c r="M169" s="88"/>
      <c r="N169" s="119" t="s">
        <v>91</v>
      </c>
      <c r="O169" s="201"/>
      <c r="P169" s="198">
        <f>+P170</f>
        <v>2090.83</v>
      </c>
      <c r="Q169" s="198">
        <f>+Q170</f>
        <v>2090.83</v>
      </c>
    </row>
    <row r="170" spans="1:17" ht="16.5" x14ac:dyDescent="0.25">
      <c r="A170" s="196"/>
      <c r="B170" s="129"/>
      <c r="C170" s="497"/>
      <c r="D170" s="129"/>
      <c r="E170" s="497"/>
      <c r="F170" s="112"/>
      <c r="G170" s="90">
        <v>9995</v>
      </c>
      <c r="H170" s="120">
        <v>2</v>
      </c>
      <c r="I170" s="88">
        <v>6</v>
      </c>
      <c r="J170" s="120">
        <v>1</v>
      </c>
      <c r="K170" s="88">
        <v>3</v>
      </c>
      <c r="L170" s="120">
        <v>0</v>
      </c>
      <c r="M170" s="88">
        <v>1</v>
      </c>
      <c r="N170" s="120" t="s">
        <v>111</v>
      </c>
      <c r="O170" s="201"/>
      <c r="P170" s="189">
        <v>2090.83</v>
      </c>
      <c r="Q170" s="189">
        <v>2090.83</v>
      </c>
    </row>
    <row r="171" spans="1:17" ht="17.25" thickBot="1" x14ac:dyDescent="0.3">
      <c r="A171" s="203"/>
      <c r="B171" s="204"/>
      <c r="C171" s="205"/>
      <c r="D171" s="204"/>
      <c r="E171" s="205"/>
      <c r="F171" s="117"/>
      <c r="G171" s="118"/>
      <c r="H171" s="206"/>
      <c r="I171" s="207"/>
      <c r="J171" s="206"/>
      <c r="K171" s="207"/>
      <c r="L171" s="206"/>
      <c r="M171" s="207"/>
      <c r="N171" s="206"/>
      <c r="O171" s="208"/>
      <c r="P171" s="209"/>
      <c r="Q171" s="209"/>
    </row>
    <row r="172" spans="1:17" ht="17.25" thickBot="1" x14ac:dyDescent="0.3">
      <c r="A172" s="571" t="s">
        <v>95</v>
      </c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3"/>
      <c r="M172" s="500"/>
      <c r="N172" s="210" t="s">
        <v>96</v>
      </c>
      <c r="O172" s="182">
        <f>+O167+O161+O150+O139</f>
        <v>127049.55144699995</v>
      </c>
      <c r="P172" s="238">
        <f>+P167+P161+P150+P139</f>
        <v>1395267.401447</v>
      </c>
      <c r="Q172" s="238">
        <f>+Q167+Q161+Q150+Q139</f>
        <v>1268217.8500000001</v>
      </c>
    </row>
    <row r="173" spans="1:17" ht="17.25" thickTop="1" x14ac:dyDescent="0.25">
      <c r="A173" s="497"/>
      <c r="B173" s="497"/>
      <c r="C173" s="497"/>
      <c r="D173" s="497"/>
      <c r="E173" s="497"/>
      <c r="F173" s="497"/>
      <c r="G173" s="497"/>
      <c r="H173" s="497"/>
      <c r="I173" s="497"/>
      <c r="J173" s="497"/>
      <c r="K173" s="497"/>
      <c r="L173" s="497"/>
      <c r="M173" s="497"/>
      <c r="N173" s="497"/>
      <c r="O173" s="202"/>
      <c r="P173" s="202"/>
      <c r="Q173" s="202"/>
    </row>
    <row r="174" spans="1:17" ht="16.5" x14ac:dyDescent="0.25">
      <c r="A174" s="497"/>
      <c r="B174" s="497"/>
      <c r="C174" s="497"/>
      <c r="D174" s="497"/>
      <c r="E174" s="497"/>
      <c r="F174" s="497"/>
      <c r="G174" s="497"/>
      <c r="H174" s="497"/>
      <c r="I174" s="497"/>
      <c r="J174" s="497"/>
      <c r="K174" s="497"/>
      <c r="L174" s="497"/>
      <c r="M174" s="497"/>
      <c r="O174" s="197"/>
      <c r="P174" s="202"/>
      <c r="Q174" s="301"/>
    </row>
    <row r="175" spans="1:17" ht="16.5" x14ac:dyDescent="0.25">
      <c r="A175" s="497"/>
      <c r="B175" s="497"/>
      <c r="C175" s="497"/>
      <c r="D175" s="497"/>
      <c r="E175" s="497"/>
      <c r="F175" s="497"/>
      <c r="G175" s="497"/>
      <c r="H175" s="497"/>
      <c r="I175" s="497"/>
      <c r="J175" s="497"/>
      <c r="K175" s="497"/>
      <c r="L175" s="497"/>
      <c r="M175" s="497"/>
      <c r="O175" s="197"/>
      <c r="P175" s="202"/>
      <c r="Q175" s="301"/>
    </row>
    <row r="176" spans="1:17" ht="16.5" x14ac:dyDescent="0.25">
      <c r="A176" s="497"/>
      <c r="B176" s="497"/>
      <c r="C176" s="497"/>
      <c r="D176" s="497"/>
      <c r="E176" s="497"/>
      <c r="F176" s="497"/>
      <c r="G176" s="497"/>
      <c r="H176" s="497"/>
      <c r="I176" s="497"/>
      <c r="J176" s="497"/>
      <c r="K176" s="497"/>
      <c r="L176" s="497"/>
      <c r="M176" s="497"/>
      <c r="O176" s="197"/>
      <c r="P176" s="202"/>
      <c r="Q176" s="301"/>
    </row>
    <row r="177" spans="1:22" ht="16.5" x14ac:dyDescent="0.25">
      <c r="A177" s="498"/>
      <c r="B177" s="498"/>
      <c r="C177" s="498"/>
      <c r="D177" s="498"/>
      <c r="E177" s="498"/>
      <c r="F177" s="225"/>
      <c r="G177" s="225"/>
      <c r="H177" s="225"/>
      <c r="I177" s="498"/>
      <c r="J177" s="498"/>
      <c r="K177" s="498"/>
      <c r="L177" s="498"/>
      <c r="M177" s="498"/>
      <c r="N177" s="498"/>
      <c r="O177" s="498"/>
      <c r="P177" s="498"/>
      <c r="Q177" s="498"/>
    </row>
    <row r="178" spans="1:22" ht="16.5" x14ac:dyDescent="0.25">
      <c r="A178" s="222"/>
      <c r="B178" s="222"/>
      <c r="C178" s="222"/>
      <c r="D178" s="222"/>
      <c r="E178" s="222"/>
      <c r="F178" s="222"/>
      <c r="G178" s="222"/>
      <c r="H178" s="93"/>
      <c r="I178" s="85"/>
      <c r="J178" s="85"/>
      <c r="K178" s="85"/>
      <c r="L178" s="85"/>
      <c r="M178" s="85"/>
      <c r="N178" s="93"/>
      <c r="O178" s="93"/>
      <c r="P178" s="94"/>
      <c r="Q178" s="95"/>
    </row>
    <row r="179" spans="1:22" ht="16.5" x14ac:dyDescent="0.25">
      <c r="A179" s="526" t="s">
        <v>97</v>
      </c>
      <c r="B179" s="526"/>
      <c r="C179" s="526"/>
      <c r="D179" s="526"/>
      <c r="E179" s="526"/>
      <c r="F179" s="526"/>
      <c r="G179" s="526"/>
      <c r="H179" s="526"/>
      <c r="I179" s="526"/>
      <c r="J179" s="85"/>
      <c r="K179" s="85"/>
      <c r="L179" s="85"/>
      <c r="M179" s="85"/>
      <c r="N179" s="497" t="s">
        <v>98</v>
      </c>
      <c r="O179" s="543" t="s">
        <v>99</v>
      </c>
      <c r="P179" s="543"/>
      <c r="Q179" s="543"/>
    </row>
    <row r="180" spans="1:22" ht="16.5" x14ac:dyDescent="0.25">
      <c r="A180" s="497"/>
      <c r="B180" s="497"/>
      <c r="C180" s="497"/>
      <c r="D180" s="497"/>
      <c r="E180" s="497"/>
      <c r="F180" s="497"/>
      <c r="G180" s="497"/>
      <c r="H180" s="497"/>
      <c r="I180" s="497"/>
      <c r="J180" s="497"/>
      <c r="K180" s="497"/>
      <c r="L180" s="497"/>
      <c r="M180" s="497"/>
      <c r="N180" s="497"/>
      <c r="O180" s="96"/>
      <c r="P180" s="97"/>
      <c r="Q180" s="97"/>
    </row>
    <row r="181" spans="1:22" ht="16.5" x14ac:dyDescent="0.25">
      <c r="A181" s="498"/>
      <c r="B181" s="498"/>
      <c r="C181" s="498"/>
      <c r="D181" s="498"/>
      <c r="E181" s="498"/>
      <c r="F181" s="225"/>
      <c r="G181" s="225"/>
      <c r="H181" s="225"/>
      <c r="I181" s="498"/>
      <c r="J181" s="498"/>
      <c r="K181" s="498"/>
      <c r="L181" s="498"/>
      <c r="M181" s="498"/>
      <c r="N181" s="498"/>
      <c r="O181" s="498"/>
      <c r="P181" s="498"/>
      <c r="Q181" s="498"/>
    </row>
    <row r="182" spans="1:22" ht="16.5" x14ac:dyDescent="0.25">
      <c r="A182" s="498"/>
      <c r="B182" s="498"/>
      <c r="C182" s="498"/>
      <c r="D182" s="498"/>
      <c r="E182" s="498"/>
      <c r="F182" s="225"/>
      <c r="G182" s="225"/>
      <c r="H182" s="225"/>
      <c r="I182" s="498"/>
      <c r="J182" s="498"/>
      <c r="K182" s="498"/>
      <c r="L182" s="498"/>
      <c r="M182" s="498"/>
      <c r="N182" s="498"/>
      <c r="O182" s="498"/>
      <c r="P182" s="498"/>
      <c r="Q182" s="498"/>
    </row>
    <row r="183" spans="1:22" ht="16.5" x14ac:dyDescent="0.25">
      <c r="A183" s="498"/>
      <c r="B183" s="498"/>
      <c r="C183" s="498"/>
      <c r="D183" s="498"/>
      <c r="E183" s="498"/>
      <c r="F183" s="225"/>
      <c r="G183" s="225"/>
      <c r="H183" s="225"/>
      <c r="I183" s="498"/>
      <c r="J183" s="498"/>
      <c r="K183" s="498"/>
      <c r="L183" s="498"/>
      <c r="M183" s="498"/>
      <c r="N183" s="498"/>
      <c r="O183" s="498"/>
      <c r="P183" s="498"/>
      <c r="Q183" s="498"/>
    </row>
    <row r="184" spans="1:22" ht="16.5" x14ac:dyDescent="0.25">
      <c r="A184" s="498"/>
      <c r="B184" s="498"/>
      <c r="C184" s="498"/>
      <c r="D184" s="498"/>
      <c r="E184" s="498"/>
      <c r="F184" s="225"/>
      <c r="G184" s="225"/>
      <c r="H184" s="225"/>
      <c r="I184" s="498"/>
      <c r="J184" s="498"/>
      <c r="K184" s="498"/>
      <c r="L184" s="498"/>
      <c r="M184" s="498"/>
      <c r="N184" s="498"/>
      <c r="O184" s="498"/>
      <c r="P184" s="498"/>
      <c r="Q184" s="498"/>
    </row>
    <row r="185" spans="1:22" ht="16.5" x14ac:dyDescent="0.25">
      <c r="A185" s="498"/>
      <c r="B185" s="498"/>
      <c r="C185" s="498"/>
      <c r="D185" s="498"/>
      <c r="E185" s="498"/>
      <c r="F185" s="225"/>
      <c r="G185" s="225"/>
      <c r="H185" s="225"/>
      <c r="I185" s="498"/>
      <c r="J185" s="498"/>
      <c r="K185" s="498"/>
      <c r="L185" s="498"/>
      <c r="M185" s="498"/>
      <c r="N185" s="498"/>
      <c r="O185" s="498"/>
      <c r="P185" s="498"/>
      <c r="Q185" s="498"/>
    </row>
    <row r="186" spans="1:22" ht="16.5" x14ac:dyDescent="0.25">
      <c r="B186" s="498"/>
      <c r="C186" s="498"/>
      <c r="D186" s="498"/>
      <c r="E186" s="498"/>
      <c r="F186" s="225"/>
      <c r="G186" s="225"/>
      <c r="H186" s="225"/>
      <c r="I186" s="498"/>
      <c r="J186" s="498"/>
      <c r="K186" s="498"/>
      <c r="L186" s="498"/>
      <c r="M186" s="498"/>
      <c r="N186" s="498"/>
      <c r="O186" s="498"/>
      <c r="P186" s="498"/>
      <c r="Q186" s="498"/>
    </row>
    <row r="187" spans="1:22" ht="16.5" x14ac:dyDescent="0.25">
      <c r="D187" s="498"/>
      <c r="E187" s="498"/>
      <c r="F187" s="498"/>
      <c r="G187" s="225"/>
      <c r="H187" s="225"/>
      <c r="I187" s="498"/>
      <c r="J187" s="498"/>
      <c r="K187" s="498"/>
      <c r="L187" s="498"/>
      <c r="M187" s="498"/>
      <c r="O187" s="498"/>
      <c r="P187" s="498"/>
      <c r="Q187" s="498"/>
      <c r="V187" s="498"/>
    </row>
    <row r="188" spans="1:22" ht="17.25" thickBot="1" x14ac:dyDescent="0.3">
      <c r="D188" s="498"/>
      <c r="E188" s="498"/>
      <c r="F188" s="225"/>
      <c r="G188" s="225"/>
      <c r="H188" s="225"/>
      <c r="I188" s="498"/>
      <c r="J188" s="498"/>
      <c r="K188" s="498"/>
      <c r="L188" s="498"/>
      <c r="M188" s="498"/>
      <c r="N188" s="498"/>
      <c r="O188" s="498"/>
      <c r="P188" s="498"/>
      <c r="Q188" s="498"/>
    </row>
    <row r="189" spans="1:22" ht="15.75" thickBot="1" x14ac:dyDescent="0.25">
      <c r="A189" s="544">
        <v>3</v>
      </c>
      <c r="B189" s="545"/>
      <c r="C189" s="545"/>
      <c r="D189" s="545"/>
      <c r="E189" s="545"/>
      <c r="F189" s="545"/>
      <c r="G189" s="545"/>
      <c r="H189" s="545"/>
      <c r="I189" s="545"/>
      <c r="J189" s="545"/>
      <c r="K189" s="545"/>
      <c r="L189" s="545"/>
      <c r="M189" s="545"/>
      <c r="N189" s="545"/>
      <c r="O189" s="545"/>
      <c r="P189" s="545"/>
      <c r="Q189" s="546"/>
    </row>
    <row r="190" spans="1:22" ht="15.75" x14ac:dyDescent="0.25">
      <c r="A190" s="547" t="s">
        <v>0</v>
      </c>
      <c r="B190" s="548"/>
      <c r="C190" s="548"/>
      <c r="D190" s="548"/>
      <c r="E190" s="548"/>
      <c r="F190" s="548"/>
      <c r="G190" s="548"/>
      <c r="H190" s="548"/>
      <c r="I190" s="548"/>
      <c r="J190" s="548"/>
      <c r="K190" s="548"/>
      <c r="L190" s="548"/>
      <c r="M190" s="548"/>
      <c r="N190" s="548"/>
      <c r="O190" s="548"/>
      <c r="P190" s="548"/>
      <c r="Q190" s="549"/>
    </row>
    <row r="191" spans="1:22" ht="15" x14ac:dyDescent="0.2">
      <c r="A191" s="60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2"/>
      <c r="Q191" s="63" t="s">
        <v>1</v>
      </c>
    </row>
    <row r="192" spans="1:22" ht="15.75" x14ac:dyDescent="0.25">
      <c r="A192" s="64" t="s">
        <v>2</v>
      </c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5"/>
      <c r="P192" s="66" t="s">
        <v>3</v>
      </c>
      <c r="Q192" s="67"/>
    </row>
    <row r="193" spans="1:18" ht="15.75" x14ac:dyDescent="0.25">
      <c r="A193" s="64" t="s">
        <v>4</v>
      </c>
      <c r="B193" s="61"/>
      <c r="C193" s="61">
        <v>5120</v>
      </c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8"/>
      <c r="P193" s="69" t="s">
        <v>5</v>
      </c>
      <c r="Q193" s="70"/>
    </row>
    <row r="194" spans="1:18" ht="15.75" x14ac:dyDescent="0.25">
      <c r="A194" s="64" t="s">
        <v>6</v>
      </c>
      <c r="B194" s="68"/>
      <c r="C194" s="68" t="s">
        <v>7</v>
      </c>
      <c r="D194" s="68"/>
      <c r="E194" s="68"/>
      <c r="F194" s="61"/>
      <c r="G194" s="61"/>
      <c r="H194" s="61"/>
      <c r="I194" s="61"/>
      <c r="J194" s="61"/>
      <c r="K194" s="61"/>
      <c r="L194" s="61"/>
      <c r="M194" s="61"/>
      <c r="N194" s="61"/>
      <c r="O194" s="68"/>
      <c r="P194" s="69" t="s">
        <v>8</v>
      </c>
      <c r="Q194" s="70"/>
    </row>
    <row r="195" spans="1:18" ht="16.5" thickBot="1" x14ac:dyDescent="0.3">
      <c r="A195" s="64" t="s">
        <v>9</v>
      </c>
      <c r="B195" s="68">
        <v>2016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8"/>
      <c r="P195" s="71" t="s">
        <v>10</v>
      </c>
      <c r="Q195" s="72"/>
    </row>
    <row r="196" spans="1:18" ht="15.75" x14ac:dyDescent="0.25">
      <c r="A196" s="550" t="s">
        <v>11</v>
      </c>
      <c r="B196" s="551"/>
      <c r="C196" s="551"/>
      <c r="D196" s="551"/>
      <c r="E196" s="551"/>
      <c r="F196" s="551"/>
      <c r="G196" s="551"/>
      <c r="H196" s="551"/>
      <c r="I196" s="551"/>
      <c r="J196" s="551"/>
      <c r="K196" s="551"/>
      <c r="L196" s="552"/>
      <c r="M196" s="493"/>
      <c r="N196" s="493"/>
      <c r="O196" s="553" t="s">
        <v>12</v>
      </c>
      <c r="P196" s="551"/>
      <c r="Q196" s="554"/>
    </row>
    <row r="197" spans="1:18" ht="15.75" x14ac:dyDescent="0.25">
      <c r="A197" s="555">
        <v>2</v>
      </c>
      <c r="B197" s="556"/>
      <c r="C197" s="556"/>
      <c r="D197" s="556"/>
      <c r="E197" s="556"/>
      <c r="F197" s="556"/>
      <c r="G197" s="557"/>
      <c r="H197" s="78" t="s">
        <v>13</v>
      </c>
      <c r="I197" s="79"/>
      <c r="J197" s="79"/>
      <c r="K197" s="79"/>
      <c r="L197" s="232"/>
      <c r="M197" s="232"/>
      <c r="N197" s="232"/>
      <c r="O197" s="80" t="s">
        <v>14</v>
      </c>
      <c r="P197" s="80" t="s">
        <v>15</v>
      </c>
      <c r="Q197" s="84" t="s">
        <v>16</v>
      </c>
    </row>
    <row r="198" spans="1:18" ht="15.75" x14ac:dyDescent="0.25">
      <c r="A198" s="558" t="s">
        <v>17</v>
      </c>
      <c r="B198" s="494" t="s">
        <v>18</v>
      </c>
      <c r="C198" s="560" t="s">
        <v>19</v>
      </c>
      <c r="D198" s="494" t="s">
        <v>20</v>
      </c>
      <c r="E198" s="494" t="s">
        <v>21</v>
      </c>
      <c r="F198" s="562" t="s">
        <v>22</v>
      </c>
      <c r="G198" s="560" t="s">
        <v>23</v>
      </c>
      <c r="H198" s="560" t="s">
        <v>112</v>
      </c>
      <c r="I198" s="560" t="s">
        <v>113</v>
      </c>
      <c r="J198" s="494"/>
      <c r="K198" s="494"/>
      <c r="L198" s="494" t="s">
        <v>18</v>
      </c>
      <c r="M198" s="494"/>
      <c r="N198" s="494"/>
      <c r="O198" s="564">
        <v>3</v>
      </c>
      <c r="P198" s="564">
        <v>4</v>
      </c>
      <c r="Q198" s="566">
        <v>5</v>
      </c>
    </row>
    <row r="199" spans="1:18" ht="16.5" thickBot="1" x14ac:dyDescent="0.3">
      <c r="A199" s="559"/>
      <c r="B199" s="504" t="s">
        <v>17</v>
      </c>
      <c r="C199" s="561"/>
      <c r="D199" s="504" t="s">
        <v>26</v>
      </c>
      <c r="E199" s="504" t="s">
        <v>27</v>
      </c>
      <c r="F199" s="563"/>
      <c r="G199" s="561"/>
      <c r="H199" s="561"/>
      <c r="I199" s="561"/>
      <c r="J199" s="504"/>
      <c r="K199" s="504"/>
      <c r="L199" s="504" t="s">
        <v>113</v>
      </c>
      <c r="M199" s="504"/>
      <c r="N199" s="504"/>
      <c r="O199" s="565"/>
      <c r="P199" s="565"/>
      <c r="Q199" s="567"/>
    </row>
    <row r="200" spans="1:18" ht="16.5" x14ac:dyDescent="0.25">
      <c r="A200" s="116"/>
      <c r="B200" s="116"/>
      <c r="C200" s="116"/>
      <c r="D200" s="86"/>
      <c r="E200" s="116"/>
      <c r="F200" s="86"/>
      <c r="G200" s="116"/>
      <c r="H200" s="116"/>
      <c r="I200" s="86"/>
      <c r="J200" s="116"/>
      <c r="K200" s="86"/>
      <c r="L200" s="211"/>
      <c r="M200" s="116"/>
      <c r="N200" s="86"/>
      <c r="O200" s="116"/>
      <c r="P200" s="86"/>
      <c r="Q200" s="116"/>
    </row>
    <row r="201" spans="1:18" ht="16.5" x14ac:dyDescent="0.25">
      <c r="A201" s="113"/>
      <c r="B201" s="113"/>
      <c r="C201" s="113"/>
      <c r="D201" s="85"/>
      <c r="E201" s="113"/>
      <c r="F201" s="85"/>
      <c r="G201" s="113"/>
      <c r="H201" s="419">
        <v>2</v>
      </c>
      <c r="I201" s="420">
        <v>1</v>
      </c>
      <c r="J201" s="419"/>
      <c r="K201" s="420"/>
      <c r="L201" s="421"/>
      <c r="M201" s="419"/>
      <c r="N201" s="418" t="s">
        <v>33</v>
      </c>
      <c r="O201" s="422">
        <f>+P201-Q201</f>
        <v>3412.7600000000093</v>
      </c>
      <c r="P201" s="423">
        <f>+P203+P206</f>
        <v>396350</v>
      </c>
      <c r="Q201" s="422">
        <f>+Q203+Q206</f>
        <v>392937.24</v>
      </c>
    </row>
    <row r="202" spans="1:18" ht="16.5" x14ac:dyDescent="0.25">
      <c r="A202" s="113"/>
      <c r="B202" s="113"/>
      <c r="C202" s="113"/>
      <c r="D202" s="85"/>
      <c r="E202" s="113"/>
      <c r="F202" s="85"/>
      <c r="G202" s="113"/>
      <c r="H202" s="212"/>
      <c r="I202" s="213"/>
      <c r="J202" s="212"/>
      <c r="K202" s="213"/>
      <c r="L202" s="214"/>
      <c r="M202" s="212"/>
      <c r="N202" s="87"/>
      <c r="O202" s="215"/>
      <c r="P202" s="216"/>
      <c r="Q202" s="215"/>
    </row>
    <row r="203" spans="1:18" ht="16.5" x14ac:dyDescent="0.25">
      <c r="A203" s="113"/>
      <c r="B203" s="113"/>
      <c r="C203" s="113"/>
      <c r="D203" s="85"/>
      <c r="E203" s="113"/>
      <c r="F203" s="85"/>
      <c r="G203" s="113"/>
      <c r="H203" s="119">
        <v>2</v>
      </c>
      <c r="I203" s="87">
        <v>1</v>
      </c>
      <c r="J203" s="119">
        <v>1</v>
      </c>
      <c r="K203" s="87"/>
      <c r="L203" s="220"/>
      <c r="M203" s="119"/>
      <c r="N203" s="87" t="s">
        <v>35</v>
      </c>
      <c r="O203" s="215"/>
      <c r="P203" s="216">
        <f>+P204</f>
        <v>336000</v>
      </c>
      <c r="Q203" s="215">
        <f>+Q204</f>
        <v>336000</v>
      </c>
    </row>
    <row r="204" spans="1:18" ht="16.5" x14ac:dyDescent="0.25">
      <c r="A204" s="113"/>
      <c r="B204" s="113"/>
      <c r="C204" s="113"/>
      <c r="D204" s="129"/>
      <c r="E204" s="85" t="s">
        <v>32</v>
      </c>
      <c r="F204" s="113" t="s">
        <v>34</v>
      </c>
      <c r="G204" s="113">
        <v>100</v>
      </c>
      <c r="H204" s="113">
        <v>2</v>
      </c>
      <c r="I204" s="85">
        <v>1</v>
      </c>
      <c r="J204" s="113">
        <v>1</v>
      </c>
      <c r="K204" s="85">
        <v>1</v>
      </c>
      <c r="L204" s="217">
        <v>0</v>
      </c>
      <c r="M204" s="113">
        <v>1</v>
      </c>
      <c r="N204" s="88" t="s">
        <v>100</v>
      </c>
      <c r="O204" s="215"/>
      <c r="P204" s="187">
        <v>336000</v>
      </c>
      <c r="Q204" s="188">
        <v>336000</v>
      </c>
    </row>
    <row r="205" spans="1:18" ht="16.5" x14ac:dyDescent="0.25">
      <c r="A205" s="113"/>
      <c r="B205" s="113"/>
      <c r="C205" s="113"/>
      <c r="D205" s="85"/>
      <c r="E205" s="113"/>
      <c r="F205" s="85"/>
      <c r="G205" s="113"/>
      <c r="H205" s="113"/>
      <c r="I205" s="85"/>
      <c r="J205" s="113"/>
      <c r="K205" s="85"/>
      <c r="L205" s="217"/>
      <c r="M205" s="113"/>
      <c r="N205" s="88"/>
      <c r="O205" s="215"/>
      <c r="P205" s="187"/>
      <c r="Q205" s="188"/>
    </row>
    <row r="206" spans="1:18" ht="16.5" x14ac:dyDescent="0.25">
      <c r="A206" s="113"/>
      <c r="B206" s="113"/>
      <c r="C206" s="113"/>
      <c r="D206" s="85"/>
      <c r="E206" s="113"/>
      <c r="F206" s="85"/>
      <c r="G206" s="113"/>
      <c r="H206" s="113">
        <v>2</v>
      </c>
      <c r="I206" s="85">
        <v>1</v>
      </c>
      <c r="J206" s="113">
        <v>2</v>
      </c>
      <c r="K206" s="85"/>
      <c r="L206" s="217"/>
      <c r="M206" s="113"/>
      <c r="N206" s="330" t="s">
        <v>101</v>
      </c>
      <c r="O206" s="215"/>
      <c r="P206" s="216">
        <f>+P207</f>
        <v>60350</v>
      </c>
      <c r="Q206" s="215">
        <f>+Q207</f>
        <v>56937.24</v>
      </c>
    </row>
    <row r="207" spans="1:18" ht="16.5" x14ac:dyDescent="0.25">
      <c r="A207" s="113"/>
      <c r="B207" s="113"/>
      <c r="C207" s="113"/>
      <c r="D207" s="85"/>
      <c r="E207" s="113"/>
      <c r="F207" s="85"/>
      <c r="G207" s="113">
        <v>9995</v>
      </c>
      <c r="H207" s="113">
        <v>2</v>
      </c>
      <c r="I207" s="85">
        <v>1</v>
      </c>
      <c r="J207" s="113">
        <v>2</v>
      </c>
      <c r="K207" s="85">
        <v>2</v>
      </c>
      <c r="L207" s="217">
        <v>0</v>
      </c>
      <c r="M207" s="113">
        <v>6</v>
      </c>
      <c r="N207" s="88" t="s">
        <v>114</v>
      </c>
      <c r="O207" s="392"/>
      <c r="P207" s="393">
        <f>45050+15300</f>
        <v>60350</v>
      </c>
      <c r="Q207" s="188">
        <f>41637.24+15300</f>
        <v>56937.24</v>
      </c>
    </row>
    <row r="208" spans="1:18" ht="17.25" thickBot="1" x14ac:dyDescent="0.3">
      <c r="A208" s="113"/>
      <c r="B208" s="113"/>
      <c r="C208" s="113"/>
      <c r="D208" s="85"/>
      <c r="E208" s="113"/>
      <c r="F208" s="85"/>
      <c r="G208" s="113"/>
      <c r="H208" s="120"/>
      <c r="I208" s="88"/>
      <c r="J208" s="120"/>
      <c r="K208" s="88"/>
      <c r="L208" s="218"/>
      <c r="M208" s="121"/>
      <c r="N208" s="88"/>
      <c r="O208" s="125"/>
      <c r="P208" s="91"/>
      <c r="Q208" s="125"/>
      <c r="R208" s="109"/>
    </row>
    <row r="209" spans="1:18" ht="17.25" thickBot="1" x14ac:dyDescent="0.3">
      <c r="A209" s="541" t="s">
        <v>95</v>
      </c>
      <c r="B209" s="542"/>
      <c r="C209" s="542"/>
      <c r="D209" s="542"/>
      <c r="E209" s="542"/>
      <c r="F209" s="542"/>
      <c r="G209" s="542"/>
      <c r="H209" s="542"/>
      <c r="I209" s="542"/>
      <c r="J209" s="542"/>
      <c r="K209" s="542"/>
      <c r="L209" s="542"/>
      <c r="M209" s="506"/>
      <c r="N209" s="506"/>
      <c r="O209" s="221">
        <f>+O201</f>
        <v>3412.7600000000093</v>
      </c>
      <c r="P209" s="221">
        <f>+P201</f>
        <v>396350</v>
      </c>
      <c r="Q209" s="236">
        <f>+Q201</f>
        <v>392937.24</v>
      </c>
      <c r="R209" s="109"/>
    </row>
    <row r="210" spans="1:18" ht="17.25" thickBot="1" x14ac:dyDescent="0.3">
      <c r="A210" s="541" t="s">
        <v>115</v>
      </c>
      <c r="B210" s="542"/>
      <c r="C210" s="542"/>
      <c r="D210" s="542"/>
      <c r="E210" s="542"/>
      <c r="F210" s="542"/>
      <c r="G210" s="542"/>
      <c r="H210" s="542"/>
      <c r="I210" s="542"/>
      <c r="J210" s="542"/>
      <c r="K210" s="542"/>
      <c r="L210" s="542"/>
      <c r="M210" s="100"/>
      <c r="N210" s="100"/>
      <c r="O210" s="221">
        <f>+O209+O172+O108</f>
        <v>2479534.8414470004</v>
      </c>
      <c r="P210" s="98">
        <f>+P209+P172+P108</f>
        <v>11501941.631447</v>
      </c>
      <c r="Q210" s="221">
        <f>+Q209+Q172+Q108</f>
        <v>9022406.7899999991</v>
      </c>
      <c r="R210" s="109"/>
    </row>
    <row r="211" spans="1:18" ht="16.5" x14ac:dyDescent="0.25">
      <c r="A211" s="85"/>
      <c r="B211" s="85"/>
      <c r="C211" s="85"/>
      <c r="D211" s="85"/>
      <c r="E211" s="85"/>
      <c r="F211" s="85"/>
      <c r="G211" s="85"/>
      <c r="H211" s="90"/>
      <c r="I211" s="90"/>
      <c r="J211" s="90"/>
      <c r="K211" s="90"/>
      <c r="L211" s="90"/>
      <c r="M211" s="90"/>
      <c r="N211" s="90"/>
      <c r="O211" s="92"/>
      <c r="P211" s="92"/>
      <c r="Q211" s="92"/>
    </row>
    <row r="212" spans="1:18" ht="16.5" x14ac:dyDescent="0.25">
      <c r="A212" s="497"/>
      <c r="B212" s="497"/>
      <c r="C212" s="497"/>
      <c r="D212" s="497"/>
      <c r="E212" s="497"/>
      <c r="F212" s="497"/>
      <c r="G212" s="497"/>
      <c r="H212" s="497"/>
      <c r="I212" s="497"/>
      <c r="J212" s="497"/>
      <c r="K212" s="497"/>
      <c r="L212" s="497"/>
      <c r="M212" s="497"/>
      <c r="N212" s="497"/>
      <c r="O212" s="184"/>
      <c r="P212" s="97"/>
      <c r="Q212" s="394"/>
    </row>
    <row r="213" spans="1:18" ht="16.5" x14ac:dyDescent="0.25">
      <c r="A213" s="497"/>
      <c r="B213" s="497"/>
      <c r="C213" s="497"/>
      <c r="D213" s="497"/>
      <c r="E213" s="497"/>
      <c r="F213" s="497"/>
      <c r="G213" s="497"/>
      <c r="H213" s="497"/>
      <c r="I213" s="497"/>
      <c r="J213" s="497"/>
      <c r="K213" s="497"/>
      <c r="L213" s="497"/>
      <c r="M213" s="497"/>
      <c r="N213" s="497"/>
      <c r="O213" s="96"/>
      <c r="P213" s="97"/>
      <c r="Q213" s="97"/>
    </row>
    <row r="214" spans="1:18" ht="16.5" x14ac:dyDescent="0.25">
      <c r="A214" s="498"/>
      <c r="B214" s="498"/>
      <c r="C214" s="498"/>
      <c r="D214" s="498"/>
      <c r="E214" s="498"/>
      <c r="F214" s="225"/>
      <c r="G214" s="225"/>
      <c r="H214" s="225"/>
      <c r="I214" s="498"/>
      <c r="J214" s="498"/>
      <c r="K214" s="498"/>
      <c r="L214" s="498"/>
      <c r="M214" s="498"/>
      <c r="N214" s="498"/>
      <c r="O214" s="183"/>
      <c r="P214" s="498"/>
      <c r="Q214" s="498"/>
    </row>
    <row r="215" spans="1:18" ht="16.5" x14ac:dyDescent="0.25">
      <c r="A215" s="222"/>
      <c r="B215" s="222"/>
      <c r="C215" s="222"/>
      <c r="D215" s="222"/>
      <c r="E215" s="222"/>
      <c r="F215" s="222"/>
      <c r="G215" s="222"/>
      <c r="H215" s="93"/>
      <c r="I215" s="85"/>
      <c r="J215" s="85"/>
      <c r="K215" s="85"/>
      <c r="L215" s="85"/>
      <c r="M215" s="85"/>
      <c r="N215" s="93"/>
      <c r="O215" s="93"/>
      <c r="P215" s="94"/>
      <c r="Q215" s="95"/>
    </row>
    <row r="216" spans="1:18" ht="16.5" x14ac:dyDescent="0.25">
      <c r="A216" s="526" t="s">
        <v>97</v>
      </c>
      <c r="B216" s="526"/>
      <c r="C216" s="526"/>
      <c r="D216" s="526"/>
      <c r="E216" s="526"/>
      <c r="F216" s="526"/>
      <c r="G216" s="526"/>
      <c r="H216" s="526"/>
      <c r="I216" s="526"/>
      <c r="J216" s="85"/>
      <c r="K216" s="85"/>
      <c r="L216" s="85"/>
      <c r="M216" s="85"/>
      <c r="N216" s="497" t="s">
        <v>98</v>
      </c>
      <c r="O216" s="543" t="s">
        <v>99</v>
      </c>
      <c r="P216" s="543"/>
      <c r="Q216" s="543"/>
    </row>
    <row r="217" spans="1:18" ht="16.5" x14ac:dyDescent="0.25">
      <c r="A217" s="497"/>
      <c r="B217" s="497"/>
      <c r="C217" s="497"/>
      <c r="D217" s="497"/>
      <c r="E217" s="497"/>
      <c r="F217" s="497"/>
      <c r="G217" s="497"/>
      <c r="H217" s="497"/>
      <c r="I217" s="497"/>
      <c r="J217" s="497"/>
      <c r="K217" s="497"/>
      <c r="L217" s="497"/>
      <c r="M217" s="497"/>
      <c r="N217" s="497"/>
      <c r="O217" s="96"/>
      <c r="P217" s="97"/>
      <c r="Q217" s="97"/>
    </row>
    <row r="218" spans="1:18" ht="16.5" x14ac:dyDescent="0.25">
      <c r="A218" s="497"/>
      <c r="B218" s="497"/>
      <c r="C218" s="497"/>
      <c r="D218" s="497"/>
      <c r="E218" s="497"/>
      <c r="F218" s="497"/>
      <c r="G218" s="497"/>
      <c r="H218" s="497"/>
      <c r="I218" s="497"/>
      <c r="J218" s="497"/>
      <c r="K218" s="497"/>
      <c r="L218" s="497"/>
      <c r="M218" s="497"/>
      <c r="N218" s="497"/>
      <c r="O218" s="96"/>
      <c r="P218" s="97"/>
      <c r="Q218" s="97"/>
    </row>
    <row r="219" spans="1:18" ht="16.5" x14ac:dyDescent="0.25">
      <c r="A219" s="497"/>
      <c r="B219" s="497"/>
      <c r="C219" s="497"/>
      <c r="D219" s="497"/>
      <c r="E219" s="497"/>
      <c r="F219" s="497"/>
      <c r="G219" s="497"/>
      <c r="H219" s="497"/>
      <c r="I219" s="497"/>
      <c r="J219" s="497"/>
      <c r="K219" s="497"/>
      <c r="L219" s="497"/>
      <c r="M219" s="497"/>
      <c r="N219" s="497"/>
      <c r="O219" s="96"/>
      <c r="P219" s="97"/>
      <c r="Q219" s="97"/>
    </row>
    <row r="220" spans="1:18" ht="16.5" x14ac:dyDescent="0.25">
      <c r="A220" s="497"/>
      <c r="B220" s="497"/>
      <c r="C220" s="497"/>
      <c r="D220" s="497"/>
      <c r="E220" s="497"/>
      <c r="F220" s="497"/>
      <c r="G220" s="497"/>
      <c r="H220" s="497"/>
      <c r="I220" s="497"/>
      <c r="J220" s="497"/>
      <c r="K220" s="497"/>
      <c r="L220" s="497"/>
      <c r="M220" s="497"/>
      <c r="N220" s="497"/>
      <c r="O220" s="96"/>
      <c r="P220" s="97"/>
      <c r="Q220" s="97"/>
    </row>
    <row r="221" spans="1:18" ht="17.25" thickBot="1" x14ac:dyDescent="0.3">
      <c r="A221" s="497"/>
      <c r="B221" s="497"/>
      <c r="C221" s="497"/>
      <c r="D221" s="497"/>
      <c r="E221" s="497"/>
      <c r="F221" s="497"/>
      <c r="G221" s="497"/>
      <c r="H221" s="497"/>
      <c r="I221" s="497"/>
      <c r="J221" s="497"/>
      <c r="K221" s="497"/>
      <c r="L221" s="497"/>
      <c r="M221" s="497"/>
      <c r="N221" s="497"/>
      <c r="O221" s="96"/>
      <c r="P221" s="97"/>
      <c r="Q221" s="97"/>
    </row>
    <row r="222" spans="1:18" ht="15.75" thickBot="1" x14ac:dyDescent="0.25">
      <c r="A222" s="544">
        <v>4</v>
      </c>
      <c r="B222" s="545"/>
      <c r="C222" s="545"/>
      <c r="D222" s="545"/>
      <c r="E222" s="545"/>
      <c r="F222" s="545"/>
      <c r="G222" s="545"/>
      <c r="H222" s="545"/>
      <c r="I222" s="545"/>
      <c r="J222" s="545"/>
      <c r="K222" s="545"/>
      <c r="L222" s="545"/>
      <c r="M222" s="545"/>
      <c r="N222" s="545"/>
      <c r="O222" s="545"/>
      <c r="P222" s="545"/>
      <c r="Q222" s="546"/>
    </row>
    <row r="223" spans="1:18" ht="15.75" x14ac:dyDescent="0.25">
      <c r="A223" s="547" t="s">
        <v>0</v>
      </c>
      <c r="B223" s="548"/>
      <c r="C223" s="548"/>
      <c r="D223" s="548"/>
      <c r="E223" s="548"/>
      <c r="F223" s="548"/>
      <c r="G223" s="548"/>
      <c r="H223" s="548"/>
      <c r="I223" s="548"/>
      <c r="J223" s="548"/>
      <c r="K223" s="548"/>
      <c r="L223" s="548"/>
      <c r="M223" s="548"/>
      <c r="N223" s="548"/>
      <c r="O223" s="548"/>
      <c r="P223" s="548"/>
      <c r="Q223" s="549"/>
    </row>
    <row r="224" spans="1:18" ht="15" x14ac:dyDescent="0.2">
      <c r="A224" s="60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2"/>
      <c r="Q224" s="63" t="s">
        <v>1</v>
      </c>
    </row>
    <row r="225" spans="1:20" ht="15.75" x14ac:dyDescent="0.25">
      <c r="A225" s="64" t="s">
        <v>2</v>
      </c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5"/>
      <c r="P225" s="66" t="s">
        <v>3</v>
      </c>
      <c r="Q225" s="67"/>
    </row>
    <row r="226" spans="1:20" ht="15.75" x14ac:dyDescent="0.25">
      <c r="A226" s="64" t="s">
        <v>4</v>
      </c>
      <c r="B226" s="61"/>
      <c r="C226" s="61">
        <v>5120</v>
      </c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8"/>
      <c r="P226" s="69" t="s">
        <v>5</v>
      </c>
      <c r="Q226" s="70"/>
    </row>
    <row r="227" spans="1:20" ht="15.75" x14ac:dyDescent="0.25">
      <c r="A227" s="64" t="s">
        <v>6</v>
      </c>
      <c r="B227" s="68"/>
      <c r="C227" s="68" t="s">
        <v>7</v>
      </c>
      <c r="D227" s="68"/>
      <c r="E227" s="68"/>
      <c r="F227" s="61"/>
      <c r="G227" s="61"/>
      <c r="H227" s="61"/>
      <c r="I227" s="61"/>
      <c r="J227" s="61"/>
      <c r="K227" s="61"/>
      <c r="L227" s="61"/>
      <c r="M227" s="61"/>
      <c r="N227" s="61"/>
      <c r="O227" s="68"/>
      <c r="P227" s="69" t="s">
        <v>8</v>
      </c>
      <c r="Q227" s="70"/>
    </row>
    <row r="228" spans="1:20" ht="16.5" thickBot="1" x14ac:dyDescent="0.3">
      <c r="A228" s="64" t="s">
        <v>9</v>
      </c>
      <c r="B228" s="68">
        <v>2016</v>
      </c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8"/>
      <c r="P228" s="71" t="s">
        <v>10</v>
      </c>
      <c r="Q228" s="72"/>
    </row>
    <row r="229" spans="1:20" ht="15.75" x14ac:dyDescent="0.25">
      <c r="A229" s="550" t="s">
        <v>11</v>
      </c>
      <c r="B229" s="551"/>
      <c r="C229" s="551"/>
      <c r="D229" s="551"/>
      <c r="E229" s="551"/>
      <c r="F229" s="551"/>
      <c r="G229" s="551"/>
      <c r="H229" s="551"/>
      <c r="I229" s="551"/>
      <c r="J229" s="551"/>
      <c r="K229" s="551"/>
      <c r="L229" s="552"/>
      <c r="M229" s="493"/>
      <c r="N229" s="493"/>
      <c r="O229" s="553" t="s">
        <v>12</v>
      </c>
      <c r="P229" s="551"/>
      <c r="Q229" s="554"/>
    </row>
    <row r="230" spans="1:20" ht="16.5" thickBot="1" x14ac:dyDescent="0.3">
      <c r="A230" s="528">
        <v>2</v>
      </c>
      <c r="B230" s="529"/>
      <c r="C230" s="529"/>
      <c r="D230" s="529"/>
      <c r="E230" s="529"/>
      <c r="F230" s="529"/>
      <c r="G230" s="530"/>
      <c r="H230" s="66" t="s">
        <v>13</v>
      </c>
      <c r="I230" s="81"/>
      <c r="J230" s="81"/>
      <c r="K230" s="81"/>
      <c r="L230" s="82"/>
      <c r="M230" s="82"/>
      <c r="N230" s="82"/>
      <c r="O230" s="494" t="s">
        <v>14</v>
      </c>
      <c r="P230" s="494" t="s">
        <v>15</v>
      </c>
      <c r="Q230" s="83" t="s">
        <v>16</v>
      </c>
    </row>
    <row r="231" spans="1:20" ht="15.75" x14ac:dyDescent="0.25">
      <c r="A231" s="531" t="s">
        <v>17</v>
      </c>
      <c r="B231" s="507" t="s">
        <v>18</v>
      </c>
      <c r="C231" s="533" t="s">
        <v>19</v>
      </c>
      <c r="D231" s="507" t="s">
        <v>20</v>
      </c>
      <c r="E231" s="507" t="s">
        <v>21</v>
      </c>
      <c r="F231" s="535" t="s">
        <v>22</v>
      </c>
      <c r="G231" s="533" t="s">
        <v>23</v>
      </c>
      <c r="H231" s="533" t="s">
        <v>112</v>
      </c>
      <c r="I231" s="507" t="s">
        <v>113</v>
      </c>
      <c r="J231" s="507"/>
      <c r="K231" s="507"/>
      <c r="L231" s="507" t="s">
        <v>18</v>
      </c>
      <c r="M231" s="507"/>
      <c r="N231" s="507"/>
      <c r="O231" s="537">
        <v>3</v>
      </c>
      <c r="P231" s="537">
        <v>4</v>
      </c>
      <c r="Q231" s="539">
        <v>5</v>
      </c>
    </row>
    <row r="232" spans="1:20" ht="16.5" thickBot="1" x14ac:dyDescent="0.3">
      <c r="A232" s="532"/>
      <c r="B232" s="499" t="s">
        <v>17</v>
      </c>
      <c r="C232" s="534"/>
      <c r="D232" s="499" t="s">
        <v>26</v>
      </c>
      <c r="E232" s="499" t="s">
        <v>27</v>
      </c>
      <c r="F232" s="536"/>
      <c r="G232" s="534"/>
      <c r="H232" s="534"/>
      <c r="I232" s="499"/>
      <c r="J232" s="499"/>
      <c r="K232" s="499"/>
      <c r="L232" s="499" t="s">
        <v>113</v>
      </c>
      <c r="M232" s="499"/>
      <c r="N232" s="499"/>
      <c r="O232" s="538"/>
      <c r="P232" s="538"/>
      <c r="Q232" s="540"/>
    </row>
    <row r="233" spans="1:20" ht="16.5" x14ac:dyDescent="0.25">
      <c r="A233" s="127"/>
      <c r="B233" s="128"/>
      <c r="C233" s="102"/>
      <c r="D233" s="128"/>
      <c r="E233" s="102"/>
      <c r="F233" s="128"/>
      <c r="G233" s="102"/>
      <c r="H233" s="128"/>
      <c r="I233" s="102"/>
      <c r="J233" s="128"/>
      <c r="K233" s="102"/>
      <c r="L233" s="128"/>
      <c r="M233" s="102"/>
      <c r="N233" s="128"/>
      <c r="O233" s="130"/>
      <c r="P233" s="131"/>
      <c r="Q233" s="424"/>
    </row>
    <row r="234" spans="1:20" ht="16.5" x14ac:dyDescent="0.25">
      <c r="A234" s="114"/>
      <c r="B234" s="112"/>
      <c r="C234" s="90"/>
      <c r="D234" s="112"/>
      <c r="E234" s="90"/>
      <c r="F234" s="112"/>
      <c r="G234" s="90"/>
      <c r="H234" s="120"/>
      <c r="I234" s="88"/>
      <c r="J234" s="120"/>
      <c r="K234" s="88"/>
      <c r="L234" s="120"/>
      <c r="M234" s="88"/>
      <c r="N234" s="120"/>
      <c r="O234" s="91"/>
      <c r="P234" s="124"/>
      <c r="Q234" s="425"/>
      <c r="R234" s="109"/>
      <c r="S234" s="109"/>
      <c r="T234" s="109"/>
    </row>
    <row r="235" spans="1:20" ht="16.5" x14ac:dyDescent="0.25">
      <c r="A235" s="114"/>
      <c r="B235" s="113" t="s">
        <v>31</v>
      </c>
      <c r="C235" s="85" t="s">
        <v>31</v>
      </c>
      <c r="D235" s="129"/>
      <c r="E235" s="85" t="s">
        <v>32</v>
      </c>
      <c r="F235" s="113" t="s">
        <v>34</v>
      </c>
      <c r="G235" s="90"/>
      <c r="H235" s="417">
        <v>4</v>
      </c>
      <c r="I235" s="418">
        <v>2</v>
      </c>
      <c r="J235" s="417">
        <v>1</v>
      </c>
      <c r="K235" s="418"/>
      <c r="L235" s="417"/>
      <c r="M235" s="418"/>
      <c r="N235" s="417" t="s">
        <v>119</v>
      </c>
      <c r="O235" s="290"/>
      <c r="P235" s="292">
        <f>+P236</f>
        <v>440740.89</v>
      </c>
      <c r="Q235" s="426">
        <f>+Q236</f>
        <v>2920275.73</v>
      </c>
      <c r="R235" s="160"/>
      <c r="S235" s="109"/>
      <c r="T235" s="109"/>
    </row>
    <row r="236" spans="1:20" ht="33.75" thickBot="1" x14ac:dyDescent="0.3">
      <c r="A236" s="115"/>
      <c r="B236" s="117"/>
      <c r="C236" s="118"/>
      <c r="D236" s="117"/>
      <c r="E236" s="118"/>
      <c r="F236" s="117"/>
      <c r="G236" s="118"/>
      <c r="H236" s="121">
        <v>4</v>
      </c>
      <c r="I236" s="89">
        <v>2</v>
      </c>
      <c r="J236" s="121">
        <v>1</v>
      </c>
      <c r="K236" s="89">
        <v>1</v>
      </c>
      <c r="L236" s="121">
        <v>1</v>
      </c>
      <c r="M236" s="89"/>
      <c r="N236" s="134" t="s">
        <v>120</v>
      </c>
      <c r="O236" s="122"/>
      <c r="P236" s="125">
        <v>440740.89</v>
      </c>
      <c r="Q236" s="427">
        <f>1500+1200+1500+1600+3600+400+1200+3000+4000+1653.2+1655.75+408.38+441.05+22370+9592.5+8500+9554.76+11250+2779.81+32161.64+3816+2725.41+11899.8+8232+80465+11583.06+186703.78+3631.5+11916.8+80180+89775+99880.7+13276.25+8006.6+10335.05+19096.59+485678.21+1515359.69+91133.79+860.21+72473.41+19096.59+182.25+182.25-24581.3</f>
        <v>2920275.73</v>
      </c>
      <c r="R236" s="268"/>
      <c r="S236" s="269"/>
      <c r="T236" s="109"/>
    </row>
    <row r="237" spans="1:20" ht="17.25" thickBot="1" x14ac:dyDescent="0.3">
      <c r="A237" s="541" t="s">
        <v>95</v>
      </c>
      <c r="B237" s="542"/>
      <c r="C237" s="542"/>
      <c r="D237" s="542"/>
      <c r="E237" s="542"/>
      <c r="F237" s="542"/>
      <c r="G237" s="542"/>
      <c r="H237" s="542"/>
      <c r="I237" s="542"/>
      <c r="J237" s="542"/>
      <c r="K237" s="542"/>
      <c r="L237" s="542"/>
      <c r="M237" s="506"/>
      <c r="N237" s="506"/>
      <c r="O237" s="98"/>
      <c r="P237" s="221">
        <f>+P235</f>
        <v>440740.89</v>
      </c>
      <c r="Q237" s="236">
        <f>+Q235</f>
        <v>2920275.73</v>
      </c>
      <c r="R237" s="270"/>
      <c r="S237" s="271"/>
      <c r="T237" s="109"/>
    </row>
    <row r="238" spans="1:20" ht="17.25" thickBot="1" x14ac:dyDescent="0.3">
      <c r="A238" s="541" t="s">
        <v>115</v>
      </c>
      <c r="B238" s="542"/>
      <c r="C238" s="542"/>
      <c r="D238" s="542"/>
      <c r="E238" s="542"/>
      <c r="F238" s="542"/>
      <c r="G238" s="542"/>
      <c r="H238" s="542"/>
      <c r="I238" s="542"/>
      <c r="J238" s="542"/>
      <c r="K238" s="542"/>
      <c r="L238" s="542"/>
      <c r="M238" s="100"/>
      <c r="N238" s="100"/>
      <c r="O238" s="103"/>
      <c r="P238" s="101">
        <f>+P237+P210</f>
        <v>11942682.521447001</v>
      </c>
      <c r="Q238" s="428">
        <f>+Q237+Q210</f>
        <v>11942682.52</v>
      </c>
      <c r="R238" s="268"/>
      <c r="S238" s="110"/>
    </row>
    <row r="239" spans="1:20" ht="16.5" x14ac:dyDescent="0.25">
      <c r="A239" s="497"/>
      <c r="B239" s="497"/>
      <c r="C239" s="497"/>
      <c r="D239" s="497"/>
      <c r="E239" s="497"/>
      <c r="F239" s="497"/>
      <c r="G239" s="497"/>
      <c r="H239" s="497"/>
      <c r="I239" s="497"/>
      <c r="J239" s="497"/>
      <c r="K239" s="497"/>
      <c r="L239" s="497"/>
      <c r="M239" s="497"/>
      <c r="N239" s="497"/>
      <c r="O239" s="96"/>
      <c r="P239" s="183"/>
      <c r="Q239" s="184"/>
      <c r="R239" s="272"/>
      <c r="S239" s="271"/>
      <c r="T239" s="109"/>
    </row>
    <row r="240" spans="1:20" ht="16.5" x14ac:dyDescent="0.25">
      <c r="A240" s="498"/>
      <c r="B240" s="498"/>
      <c r="C240" s="498"/>
      <c r="D240" s="498"/>
      <c r="E240" s="498"/>
      <c r="F240" s="225"/>
      <c r="G240" s="225"/>
      <c r="H240" s="225"/>
      <c r="I240" s="498"/>
      <c r="J240" s="498"/>
      <c r="K240" s="498"/>
      <c r="L240" s="498"/>
      <c r="M240" s="498"/>
      <c r="N240" s="498"/>
      <c r="O240" s="508"/>
      <c r="P240" s="413"/>
      <c r="Q240" s="413"/>
      <c r="R240" s="273"/>
      <c r="S240" s="274"/>
      <c r="T240" s="109"/>
    </row>
    <row r="241" spans="1:20" ht="16.5" x14ac:dyDescent="0.25">
      <c r="A241" s="498"/>
      <c r="B241" s="498"/>
      <c r="C241" s="498"/>
      <c r="D241" s="498"/>
      <c r="E241" s="498"/>
      <c r="F241" s="225"/>
      <c r="G241" s="225"/>
      <c r="H241" s="225"/>
      <c r="I241" s="498"/>
      <c r="J241" s="498"/>
      <c r="K241" s="498"/>
      <c r="L241" s="498"/>
      <c r="M241" s="498"/>
      <c r="N241" s="498"/>
      <c r="O241" s="270"/>
      <c r="P241" s="271"/>
      <c r="Q241" s="271"/>
      <c r="R241" s="274"/>
      <c r="S241" s="271"/>
      <c r="T241" s="109"/>
    </row>
    <row r="242" spans="1:20" ht="16.5" x14ac:dyDescent="0.25">
      <c r="A242" s="498"/>
      <c r="B242" s="498"/>
      <c r="C242" s="498"/>
      <c r="D242" s="498"/>
      <c r="E242" s="498"/>
      <c r="F242" s="225"/>
      <c r="G242" s="225"/>
      <c r="H242" s="225"/>
      <c r="I242" s="498"/>
      <c r="J242" s="498"/>
      <c r="K242" s="498"/>
      <c r="L242" s="498"/>
      <c r="M242" s="498"/>
      <c r="N242" s="498"/>
      <c r="O242" s="269"/>
      <c r="P242" s="414"/>
      <c r="Q242" s="414"/>
      <c r="R242" s="191"/>
      <c r="S242" s="190"/>
      <c r="T242" s="148"/>
    </row>
    <row r="243" spans="1:20" ht="18" x14ac:dyDescent="0.35">
      <c r="A243" s="498"/>
      <c r="B243" s="498"/>
      <c r="C243" s="498"/>
      <c r="D243" s="498"/>
      <c r="E243" s="498"/>
      <c r="F243" s="225"/>
      <c r="G243" s="225"/>
      <c r="H243" s="225"/>
      <c r="I243" s="498"/>
      <c r="J243" s="498"/>
      <c r="K243" s="498"/>
      <c r="L243" s="498"/>
      <c r="M243" s="498"/>
      <c r="N243" s="498"/>
      <c r="O243" s="269"/>
      <c r="P243" s="415"/>
      <c r="Q243" s="416"/>
      <c r="R243" s="191"/>
      <c r="S243" s="109"/>
      <c r="T243" s="148"/>
    </row>
    <row r="244" spans="1:20" ht="16.5" x14ac:dyDescent="0.25">
      <c r="A244" s="222"/>
      <c r="B244" s="222"/>
      <c r="C244" s="222"/>
      <c r="D244" s="222"/>
      <c r="E244" s="222"/>
      <c r="F244" s="222"/>
      <c r="G244" s="222"/>
      <c r="H244" s="93"/>
      <c r="I244" s="85"/>
      <c r="J244" s="85"/>
      <c r="K244" s="85"/>
      <c r="L244" s="85"/>
      <c r="M244" s="85"/>
      <c r="N244" s="93"/>
      <c r="O244" s="93"/>
      <c r="P244" s="94"/>
      <c r="Q244" s="95"/>
      <c r="R244" s="44"/>
    </row>
    <row r="245" spans="1:20" ht="16.5" x14ac:dyDescent="0.25">
      <c r="A245" s="526" t="s">
        <v>97</v>
      </c>
      <c r="B245" s="526"/>
      <c r="C245" s="526"/>
      <c r="D245" s="526"/>
      <c r="E245" s="526"/>
      <c r="F245" s="526"/>
      <c r="G245" s="526"/>
      <c r="H245" s="526"/>
      <c r="I245" s="526"/>
      <c r="J245" s="85"/>
      <c r="K245" s="85"/>
      <c r="L245" s="85"/>
      <c r="M245" s="85"/>
      <c r="N245" s="497" t="s">
        <v>98</v>
      </c>
      <c r="O245" s="527" t="s">
        <v>99</v>
      </c>
      <c r="P245" s="527"/>
      <c r="Q245" s="527"/>
      <c r="R245" s="287">
        <v>27297.38</v>
      </c>
      <c r="S245" s="277" t="s">
        <v>121</v>
      </c>
      <c r="T245" s="271"/>
    </row>
    <row r="246" spans="1:20" ht="16.5" x14ac:dyDescent="0.25">
      <c r="A246" s="497"/>
      <c r="B246" s="497"/>
      <c r="C246" s="497"/>
      <c r="D246" s="497"/>
      <c r="E246" s="497"/>
      <c r="F246" s="497"/>
      <c r="G246" s="497"/>
      <c r="H246" s="497"/>
      <c r="I246" s="497"/>
      <c r="J246" s="497"/>
      <c r="K246" s="497"/>
      <c r="L246" s="497"/>
      <c r="M246" s="497"/>
      <c r="N246" s="497"/>
      <c r="O246" s="278"/>
      <c r="P246" s="279"/>
      <c r="Q246" s="279"/>
      <c r="R246" s="274">
        <v>352912.26</v>
      </c>
      <c r="S246" s="277" t="s">
        <v>122</v>
      </c>
      <c r="T246" s="269"/>
    </row>
    <row r="248" spans="1:20" ht="16.5" x14ac:dyDescent="0.25">
      <c r="A248" s="497"/>
      <c r="B248" s="497"/>
      <c r="C248" s="497"/>
      <c r="D248" s="497"/>
      <c r="E248" s="497"/>
      <c r="F248" s="497"/>
      <c r="G248" s="497"/>
      <c r="H248" s="497"/>
      <c r="I248" s="497"/>
      <c r="J248" s="497"/>
      <c r="K248" s="497"/>
      <c r="L248" s="497"/>
      <c r="M248" s="497"/>
      <c r="N248" s="497"/>
      <c r="O248" s="278"/>
      <c r="P248" s="279"/>
      <c r="Q248" s="279"/>
      <c r="R248" s="274"/>
      <c r="S248" s="269"/>
      <c r="T248" s="269"/>
    </row>
    <row r="249" spans="1:20" ht="16.5" x14ac:dyDescent="0.25">
      <c r="A249" s="498"/>
      <c r="B249" s="498"/>
      <c r="C249" s="498"/>
      <c r="D249" s="498"/>
      <c r="E249" s="498"/>
      <c r="F249" s="225"/>
      <c r="G249" s="225"/>
      <c r="H249" s="225"/>
      <c r="I249" s="498"/>
      <c r="J249" s="498"/>
      <c r="K249" s="498"/>
      <c r="L249" s="498"/>
      <c r="M249" s="498"/>
      <c r="N249" s="498"/>
      <c r="O249" s="508"/>
      <c r="P249" s="508"/>
      <c r="Q249" s="280"/>
      <c r="R249" s="284">
        <v>600509.66</v>
      </c>
      <c r="S249" s="281" t="s">
        <v>123</v>
      </c>
    </row>
    <row r="250" spans="1:20" ht="16.5" x14ac:dyDescent="0.25">
      <c r="A250" s="225"/>
      <c r="B250" s="225"/>
      <c r="C250" s="225"/>
      <c r="D250" s="225"/>
      <c r="E250" s="225"/>
      <c r="F250" s="225"/>
      <c r="G250" s="225"/>
      <c r="H250" s="225"/>
      <c r="I250" s="225"/>
      <c r="J250" s="225"/>
      <c r="K250" s="225"/>
      <c r="L250" s="225"/>
      <c r="M250" s="225"/>
      <c r="N250" s="225"/>
      <c r="O250" s="225"/>
      <c r="P250" s="233"/>
      <c r="Q250" s="225"/>
      <c r="R250" s="274">
        <v>1521633.14</v>
      </c>
      <c r="S250" s="281" t="s">
        <v>124</v>
      </c>
    </row>
    <row r="251" spans="1:20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285">
        <f>SUM(R249:R250)</f>
        <v>2122142.7999999998</v>
      </c>
      <c r="S251" s="282" t="s">
        <v>125</v>
      </c>
    </row>
    <row r="252" spans="1:20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286"/>
      <c r="S252" s="281"/>
    </row>
    <row r="253" spans="1:20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285">
        <f>+R247+R251</f>
        <v>2122142.7999999998</v>
      </c>
      <c r="S253" s="283" t="s">
        <v>126</v>
      </c>
      <c r="T253" s="283"/>
    </row>
    <row r="254" spans="1:20" x14ac:dyDescent="0.2">
      <c r="P254" s="47"/>
      <c r="Q254" s="47"/>
      <c r="R254" s="271"/>
    </row>
    <row r="255" spans="1:20" x14ac:dyDescent="0.2">
      <c r="Q255" s="47"/>
      <c r="R255" s="275">
        <v>42461</v>
      </c>
    </row>
    <row r="256" spans="1:20" x14ac:dyDescent="0.2">
      <c r="Q256" s="47"/>
      <c r="R256" s="31"/>
      <c r="T256" t="s">
        <v>127</v>
      </c>
    </row>
    <row r="257" spans="17:19" x14ac:dyDescent="0.2">
      <c r="Q257" s="44"/>
      <c r="R257" s="159">
        <f>+R247+R251</f>
        <v>2122142.7999999998</v>
      </c>
      <c r="S257" s="44">
        <f>+R257-Q238</f>
        <v>-9820539.7199999988</v>
      </c>
    </row>
    <row r="259" spans="17:19" x14ac:dyDescent="0.2">
      <c r="Q259" s="44"/>
    </row>
  </sheetData>
  <mergeCells count="71">
    <mergeCell ref="A237:L237"/>
    <mergeCell ref="A238:L238"/>
    <mergeCell ref="A245:I245"/>
    <mergeCell ref="O245:Q245"/>
    <mergeCell ref="A223:Q223"/>
    <mergeCell ref="A229:L229"/>
    <mergeCell ref="O229:Q229"/>
    <mergeCell ref="A230:G230"/>
    <mergeCell ref="A231:A232"/>
    <mergeCell ref="C231:C232"/>
    <mergeCell ref="F231:F232"/>
    <mergeCell ref="G231:G232"/>
    <mergeCell ref="H231:H232"/>
    <mergeCell ref="O231:O232"/>
    <mergeCell ref="P231:P232"/>
    <mergeCell ref="Q231:Q232"/>
    <mergeCell ref="A209:L209"/>
    <mergeCell ref="A210:L210"/>
    <mergeCell ref="A216:I216"/>
    <mergeCell ref="O216:Q216"/>
    <mergeCell ref="A222:Q222"/>
    <mergeCell ref="A196:L196"/>
    <mergeCell ref="O196:Q196"/>
    <mergeCell ref="A197:G197"/>
    <mergeCell ref="A198:A199"/>
    <mergeCell ref="C198:C199"/>
    <mergeCell ref="F198:F199"/>
    <mergeCell ref="G198:G199"/>
    <mergeCell ref="H198:H199"/>
    <mergeCell ref="I198:I199"/>
    <mergeCell ref="O198:O199"/>
    <mergeCell ref="P198:P199"/>
    <mergeCell ref="Q198:Q199"/>
    <mergeCell ref="A172:L172"/>
    <mergeCell ref="A179:I179"/>
    <mergeCell ref="O179:Q179"/>
    <mergeCell ref="A189:Q189"/>
    <mergeCell ref="A190:Q190"/>
    <mergeCell ref="A125:Q125"/>
    <mergeCell ref="A132:L132"/>
    <mergeCell ref="O132:Q132"/>
    <mergeCell ref="A134:G134"/>
    <mergeCell ref="A136:A137"/>
    <mergeCell ref="C136:C137"/>
    <mergeCell ref="F136:F137"/>
    <mergeCell ref="G136:G137"/>
    <mergeCell ref="H136:H137"/>
    <mergeCell ref="I136:I137"/>
    <mergeCell ref="O136:O137"/>
    <mergeCell ref="P136:P137"/>
    <mergeCell ref="Q136:Q137"/>
    <mergeCell ref="A108:L108"/>
    <mergeCell ref="A114:I114"/>
    <mergeCell ref="O114:Q114"/>
    <mergeCell ref="A118:E118"/>
    <mergeCell ref="A124:Q124"/>
    <mergeCell ref="I12:I13"/>
    <mergeCell ref="O12:O13"/>
    <mergeCell ref="P12:P13"/>
    <mergeCell ref="Q12:Q13"/>
    <mergeCell ref="A14:G14"/>
    <mergeCell ref="A12:A13"/>
    <mergeCell ref="C12:C13"/>
    <mergeCell ref="F12:F13"/>
    <mergeCell ref="G12:G13"/>
    <mergeCell ref="H12:H13"/>
    <mergeCell ref="A1:Q1"/>
    <mergeCell ref="A2:Q2"/>
    <mergeCell ref="A9:L9"/>
    <mergeCell ref="O9:Q9"/>
    <mergeCell ref="A11:G11"/>
  </mergeCells>
  <pageMargins left="0.70866141732283505" right="0.22" top="0.74803149606299202" bottom="0.74803149606299202" header="0.31496062992126" footer="0.31496062992126"/>
  <pageSetup paperSize="9" scale="50" orientation="portrait" r:id="rId1"/>
  <ignoredErrors>
    <ignoredError sqref="B235:C23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baseColWidth="10" defaultColWidth="9.140625" defaultRowHeight="12.75" x14ac:dyDescent="0.2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EJEC GTO  (3)</vt:lpstr>
      <vt:lpstr>relacion ingresos</vt:lpstr>
      <vt:lpstr>relacion de gastos</vt:lpstr>
      <vt:lpstr>VAR. CXP </vt:lpstr>
      <vt:lpstr>VAR. EFECT</vt:lpstr>
      <vt:lpstr>EJ. INGRESO</vt:lpstr>
      <vt:lpstr>EJEC GTO </vt:lpstr>
      <vt:lpstr>Hoja1</vt:lpstr>
      <vt:lpstr>'EJ. INGRESO'!Área_de_impresión</vt:lpstr>
      <vt:lpstr>'relacion de gastos'!Área_de_impresión</vt:lpstr>
      <vt:lpstr>'relacion ingresos'!Área_de_impresión</vt:lpstr>
    </vt:vector>
  </TitlesOfParts>
  <Company>Jardin Botanico Nacional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archivo</cp:lastModifiedBy>
  <cp:revision/>
  <dcterms:created xsi:type="dcterms:W3CDTF">2004-12-01T18:56:44Z</dcterms:created>
  <dcterms:modified xsi:type="dcterms:W3CDTF">2018-01-04T12:52:05Z</dcterms:modified>
</cp:coreProperties>
</file>