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chivo\Desktop\Ejecucion del presupuesto\"/>
    </mc:Choice>
  </mc:AlternateContent>
  <bookViews>
    <workbookView xWindow="0" yWindow="0" windowWidth="15345" windowHeight="46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0" i="1" l="1"/>
  <c r="Q339" i="1"/>
  <c r="Q338" i="1"/>
  <c r="P335" i="1"/>
  <c r="P334" i="1"/>
  <c r="P340" i="1" s="1"/>
  <c r="P300" i="1"/>
  <c r="P299" i="1"/>
  <c r="P297" i="1" s="1"/>
  <c r="Q295" i="1"/>
  <c r="Q294" i="1" s="1"/>
  <c r="P295" i="1"/>
  <c r="P294" i="1" s="1"/>
  <c r="Q290" i="1"/>
  <c r="Q282" i="1" s="1"/>
  <c r="P290" i="1"/>
  <c r="P288" i="1"/>
  <c r="P287" i="1"/>
  <c r="P285" i="1"/>
  <c r="P284" i="1"/>
  <c r="P282" i="1" s="1"/>
  <c r="O282" i="1" s="1"/>
  <c r="Q279" i="1"/>
  <c r="P279" i="1"/>
  <c r="Q277" i="1"/>
  <c r="P277" i="1"/>
  <c r="P276" i="1" s="1"/>
  <c r="Q276" i="1"/>
  <c r="Q274" i="1"/>
  <c r="P274" i="1"/>
  <c r="P273" i="1" s="1"/>
  <c r="Q273" i="1"/>
  <c r="Q271" i="1" s="1"/>
  <c r="Q268" i="1"/>
  <c r="P268" i="1"/>
  <c r="Q266" i="1"/>
  <c r="P266" i="1"/>
  <c r="O266" i="1" s="1"/>
  <c r="P233" i="1"/>
  <c r="Q232" i="1"/>
  <c r="P232" i="1"/>
  <c r="P230" i="1" s="1"/>
  <c r="Q230" i="1"/>
  <c r="P228" i="1"/>
  <c r="P227" i="1"/>
  <c r="Q223" i="1"/>
  <c r="P223" i="1"/>
  <c r="Q222" i="1"/>
  <c r="Q221" i="1" s="1"/>
  <c r="P222" i="1"/>
  <c r="P221" i="1" s="1"/>
  <c r="Q218" i="1"/>
  <c r="Q216" i="1" s="1"/>
  <c r="P218" i="1"/>
  <c r="P216" i="1" s="1"/>
  <c r="P214" i="1"/>
  <c r="P213" i="1" s="1"/>
  <c r="Q213" i="1"/>
  <c r="P211" i="1"/>
  <c r="Q210" i="1"/>
  <c r="Q208" i="1" s="1"/>
  <c r="P210" i="1"/>
  <c r="P206" i="1"/>
  <c r="P205" i="1" s="1"/>
  <c r="P192" i="1" s="1"/>
  <c r="O192" i="1" s="1"/>
  <c r="Q205" i="1"/>
  <c r="Q202" i="1"/>
  <c r="P202" i="1"/>
  <c r="Q201" i="1"/>
  <c r="P201" i="1"/>
  <c r="Q200" i="1"/>
  <c r="P200" i="1"/>
  <c r="Q198" i="1"/>
  <c r="P198" i="1"/>
  <c r="Q197" i="1"/>
  <c r="P197" i="1"/>
  <c r="Q194" i="1"/>
  <c r="P194" i="1"/>
  <c r="Q192" i="1"/>
  <c r="Q189" i="1"/>
  <c r="P189" i="1"/>
  <c r="Q186" i="1"/>
  <c r="P186" i="1"/>
  <c r="Q184" i="1"/>
  <c r="P184" i="1"/>
  <c r="P183" i="1" s="1"/>
  <c r="P181" i="1" s="1"/>
  <c r="Q183" i="1"/>
  <c r="Q181" i="1" s="1"/>
  <c r="Q142" i="1"/>
  <c r="P142" i="1"/>
  <c r="Q137" i="1"/>
  <c r="P137" i="1"/>
  <c r="P135" i="1" s="1"/>
  <c r="Q135" i="1"/>
  <c r="P133" i="1"/>
  <c r="P132" i="1" s="1"/>
  <c r="Q130" i="1"/>
  <c r="Q129" i="1" s="1"/>
  <c r="P130" i="1"/>
  <c r="P129" i="1" s="1"/>
  <c r="P127" i="1" s="1"/>
  <c r="Q125" i="1"/>
  <c r="P125" i="1"/>
  <c r="Q124" i="1"/>
  <c r="Q122" i="1" s="1"/>
  <c r="P124" i="1"/>
  <c r="P123" i="1"/>
  <c r="P122" i="1"/>
  <c r="Q120" i="1"/>
  <c r="P120" i="1"/>
  <c r="Q119" i="1"/>
  <c r="Q118" i="1" s="1"/>
  <c r="P119" i="1"/>
  <c r="P118" i="1" s="1"/>
  <c r="Q115" i="1"/>
  <c r="P115" i="1"/>
  <c r="Q111" i="1"/>
  <c r="P111" i="1"/>
  <c r="Q108" i="1"/>
  <c r="P108" i="1"/>
  <c r="Q106" i="1"/>
  <c r="P106" i="1"/>
  <c r="Q105" i="1"/>
  <c r="Q102" i="1" s="1"/>
  <c r="P105" i="1"/>
  <c r="P102" i="1" s="1"/>
  <c r="P104" i="1"/>
  <c r="Q92" i="1"/>
  <c r="P92" i="1"/>
  <c r="P89" i="1"/>
  <c r="Q88" i="1"/>
  <c r="P88" i="1"/>
  <c r="Q85" i="1"/>
  <c r="P85" i="1"/>
  <c r="Q83" i="1"/>
  <c r="P83" i="1"/>
  <c r="P80" i="1"/>
  <c r="P79" i="1"/>
  <c r="Q78" i="1"/>
  <c r="Q76" i="1" s="1"/>
  <c r="P78" i="1"/>
  <c r="Q74" i="1"/>
  <c r="P74" i="1"/>
  <c r="Q72" i="1"/>
  <c r="P72" i="1"/>
  <c r="P69" i="1" s="1"/>
  <c r="Q69" i="1"/>
  <c r="Q66" i="1"/>
  <c r="P66" i="1"/>
  <c r="Q64" i="1"/>
  <c r="P64" i="1"/>
  <c r="Q63" i="1"/>
  <c r="P63" i="1"/>
  <c r="P61" i="1" s="1"/>
  <c r="Q61" i="1"/>
  <c r="P58" i="1"/>
  <c r="Q56" i="1"/>
  <c r="Q54" i="1" s="1"/>
  <c r="P56" i="1"/>
  <c r="P54" i="1" s="1"/>
  <c r="Q52" i="1"/>
  <c r="Q51" i="1" s="1"/>
  <c r="P52" i="1"/>
  <c r="P51" i="1" s="1"/>
  <c r="P49" i="1"/>
  <c r="Q48" i="1"/>
  <c r="Q47" i="1" s="1"/>
  <c r="P48" i="1"/>
  <c r="P47" i="1"/>
  <c r="Q40" i="1"/>
  <c r="Q38" i="1" s="1"/>
  <c r="P40" i="1"/>
  <c r="P38" i="1"/>
  <c r="P32" i="1"/>
  <c r="Q29" i="1"/>
  <c r="P29" i="1"/>
  <c r="Q27" i="1"/>
  <c r="P27" i="1"/>
  <c r="P23" i="1" s="1"/>
  <c r="Q23" i="1"/>
  <c r="Q21" i="1"/>
  <c r="P21" i="1"/>
  <c r="Q20" i="1"/>
  <c r="P20" i="1"/>
  <c r="Q19" i="1"/>
  <c r="P19" i="1"/>
  <c r="P18" i="1" s="1"/>
  <c r="Q18" i="1"/>
  <c r="Q16" i="1" s="1"/>
  <c r="Q237" i="1" l="1"/>
  <c r="O297" i="1"/>
  <c r="O302" i="1" s="1"/>
  <c r="Q36" i="1"/>
  <c r="O135" i="1"/>
  <c r="O230" i="1"/>
  <c r="P237" i="1"/>
  <c r="P271" i="1"/>
  <c r="O271" i="1" s="1"/>
  <c r="Q302" i="1"/>
  <c r="O181" i="1"/>
  <c r="P16" i="1"/>
  <c r="O16" i="1" s="1"/>
  <c r="P36" i="1"/>
  <c r="O36" i="1" s="1"/>
  <c r="P76" i="1"/>
  <c r="O76" i="1" s="1"/>
  <c r="P208" i="1"/>
  <c r="O208" i="1" s="1"/>
  <c r="Q133" i="1"/>
  <c r="Q132" i="1" s="1"/>
  <c r="Q127" i="1" s="1"/>
  <c r="Q146" i="1" l="1"/>
  <c r="Q303" i="1" s="1"/>
  <c r="Q341" i="1" s="1"/>
  <c r="O127" i="1"/>
  <c r="O146" i="1" s="1"/>
  <c r="O303" i="1" s="1"/>
  <c r="O237" i="1"/>
  <c r="P146" i="1"/>
  <c r="P302" i="1"/>
  <c r="P303" i="1" s="1"/>
  <c r="P341" i="1" s="1"/>
</calcChain>
</file>

<file path=xl/sharedStrings.xml><?xml version="1.0" encoding="utf-8"?>
<sst xmlns="http://schemas.openxmlformats.org/spreadsheetml/2006/main" count="386" uniqueCount="173">
  <si>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</si>
  <si>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EJECUCION PRESUPUESTARIA DEL GASTO</t>
  </si>
  <si>
    <t>Formulario No. 2</t>
  </si>
  <si>
    <t>INSTITUCION: JARDIN BOTANICO NACIONAL "R. RAFAEL Ma. MOSCOSO"</t>
  </si>
  <si>
    <t>REGISTRO INTERNO ONAPRES</t>
  </si>
  <si>
    <t>CODIGO:</t>
  </si>
  <si>
    <t>NUMERO:</t>
  </si>
  <si>
    <t xml:space="preserve">MES: </t>
  </si>
  <si>
    <t>MARZO</t>
  </si>
  <si>
    <t>ACTIVIDAD   01</t>
  </si>
  <si>
    <t>HORA:</t>
  </si>
  <si>
    <t xml:space="preserve">AÑO: </t>
  </si>
  <si>
    <t>FECHA:</t>
  </si>
  <si>
    <t>IMPUTACION PRESUPUESTARIA</t>
  </si>
  <si>
    <t>EJECUCION  DEL GASTO</t>
  </si>
  <si>
    <t>CLASIF. OBJ. DEL GASTOS</t>
  </si>
  <si>
    <t>COMPROMISO</t>
  </si>
  <si>
    <t>DEVENGADO</t>
  </si>
  <si>
    <t>PAGADO</t>
  </si>
  <si>
    <t>PROG.</t>
  </si>
  <si>
    <t>SUB</t>
  </si>
  <si>
    <t>PROV.</t>
  </si>
  <si>
    <t>ACT /</t>
  </si>
  <si>
    <t>UB.</t>
  </si>
  <si>
    <t>FUNC.</t>
  </si>
  <si>
    <t>FONDO</t>
  </si>
  <si>
    <t>TIPO</t>
  </si>
  <si>
    <t>OBJ</t>
  </si>
  <si>
    <t>OBRA</t>
  </si>
  <si>
    <t>GEOG.</t>
  </si>
  <si>
    <t>CTA</t>
  </si>
  <si>
    <t>AUX</t>
  </si>
  <si>
    <t>DESCRIPCION</t>
  </si>
  <si>
    <t>00</t>
  </si>
  <si>
    <t>10.01.001</t>
  </si>
  <si>
    <t xml:space="preserve">SERVICIOS PERSONALES </t>
  </si>
  <si>
    <t>3.2.01</t>
  </si>
  <si>
    <t xml:space="preserve">REMUNERACIONES </t>
  </si>
  <si>
    <t>Sueldos fijos</t>
  </si>
  <si>
    <t xml:space="preserve">Sueldos al personal contratado y/o igualado </t>
  </si>
  <si>
    <t>Prestaciones laborales</t>
  </si>
  <si>
    <t xml:space="preserve">SOBRESUELDOS </t>
  </si>
  <si>
    <t>Compensaciones por gastos de alimentacion</t>
  </si>
  <si>
    <t>Prima de Transporte</t>
  </si>
  <si>
    <t>Compensacion por resultados</t>
  </si>
  <si>
    <t>Compensaciones especiales</t>
  </si>
  <si>
    <t xml:space="preserve">DIETAS Y GASTOS DE REPRESENTACION </t>
  </si>
  <si>
    <t>Gastos de representacion en el pais</t>
  </si>
  <si>
    <t>CONTRIBUCIONES A LA SEGURIDAD SOCIAL Y RIESGO LABORAL</t>
  </si>
  <si>
    <t>Contribuciones al seguro de salud</t>
  </si>
  <si>
    <t>Contribuciones al seguro de pensiones</t>
  </si>
  <si>
    <t xml:space="preserve">SERVICIOS NO PERSONALES </t>
  </si>
  <si>
    <t xml:space="preserve">SERVICIOS BASICOS </t>
  </si>
  <si>
    <t>Servicio telefonico de larga distancia</t>
  </si>
  <si>
    <t xml:space="preserve">Teléfono local </t>
  </si>
  <si>
    <t>Telefax y correos</t>
  </si>
  <si>
    <t>Servicio de internet y television por cable</t>
  </si>
  <si>
    <t>Electricidad</t>
  </si>
  <si>
    <t>Agua</t>
  </si>
  <si>
    <t xml:space="preserve">Recoleccion de residuos solidos </t>
  </si>
  <si>
    <t xml:space="preserve">PUBLICIDAD IMPRESIÓN Y ENCUADERNACION </t>
  </si>
  <si>
    <t xml:space="preserve">Publicidad y propaganda </t>
  </si>
  <si>
    <t>Telefono local</t>
  </si>
  <si>
    <t>VIATICOS</t>
  </si>
  <si>
    <t>Viaticos dentro del pais</t>
  </si>
  <si>
    <t>TRANSPORTE Y ALMACENAJE</t>
  </si>
  <si>
    <t>Almacenaje</t>
  </si>
  <si>
    <t>Peaje</t>
  </si>
  <si>
    <t>ALQUILERES Y RENTAS</t>
  </si>
  <si>
    <t>Alquileres y renta de edificios</t>
  </si>
  <si>
    <t>SEGUROS</t>
  </si>
  <si>
    <t>Seguro de bienes inmuebles e infraestructura</t>
  </si>
  <si>
    <t xml:space="preserve">Seguro de bienes muebles </t>
  </si>
  <si>
    <t>Seguros de personas</t>
  </si>
  <si>
    <t>SERV. D/CONSERVACION REP. MENORES E INST. T.</t>
  </si>
  <si>
    <t>Mantenimiento y reparac. De equipo educacional</t>
  </si>
  <si>
    <t>OTROS SERVICIOS NO PERSONALES</t>
  </si>
  <si>
    <t>Comisiones y gastos bancarios</t>
  </si>
  <si>
    <t>Servicios funerarios y gastos conexos</t>
  </si>
  <si>
    <t>Estudios de Igenieria, arquitectura e Investigacion</t>
  </si>
  <si>
    <t>Servicios juridicos</t>
  </si>
  <si>
    <t>Otros servicios tecnicos profesionales</t>
  </si>
  <si>
    <t xml:space="preserve">MATERIALES Y SUMINISTROS </t>
  </si>
  <si>
    <t xml:space="preserve">ALIMENTOS Y PRODUCTOS AGROFORESTALES </t>
  </si>
  <si>
    <t xml:space="preserve">Alimentos y bebidas para personas </t>
  </si>
  <si>
    <t>Productos pecuarios</t>
  </si>
  <si>
    <t>Madera, corcho y sus manufacturas</t>
  </si>
  <si>
    <t>TEXTILES Y VESTUARIOS</t>
  </si>
  <si>
    <t>Hilados y Telas</t>
  </si>
  <si>
    <t>Acabados textiles</t>
  </si>
  <si>
    <t>Prendas de vestir</t>
  </si>
  <si>
    <t>PRODUCTOS DE PAPEL, CARTON E IMPRESOS</t>
  </si>
  <si>
    <t>Productos de papel y carton</t>
  </si>
  <si>
    <t>Libros, revistas y periodicos</t>
  </si>
  <si>
    <t>PRODUCTOS FARMACEUTICOS</t>
  </si>
  <si>
    <t>Productos medicinales</t>
  </si>
  <si>
    <t xml:space="preserve">PRODUCTOS DE CUERO, CAUCHO Y PLÁSTICO </t>
  </si>
  <si>
    <t>Articulos de cuero</t>
  </si>
  <si>
    <t>Llantas y neumaticos</t>
  </si>
  <si>
    <t>Articulos de caucho</t>
  </si>
  <si>
    <t xml:space="preserve">Artículos de plastico </t>
  </si>
  <si>
    <t>PRODUCTOS D/MINERALES METALICOS Y NO MET</t>
  </si>
  <si>
    <t>Productos de cal</t>
  </si>
  <si>
    <t>Productos de yeso</t>
  </si>
  <si>
    <t>Productos de vidrio</t>
  </si>
  <si>
    <t>Productos de loza</t>
  </si>
  <si>
    <t>Productos de porcelana</t>
  </si>
  <si>
    <t>Productos ferrosos</t>
  </si>
  <si>
    <t>Piedra, arcilla y arena</t>
  </si>
  <si>
    <t xml:space="preserve">COMBUSTIBLES, LUBRICANTES, PROD. QUIM. Y CONEXOS </t>
  </si>
  <si>
    <t xml:space="preserve">Gasolina </t>
  </si>
  <si>
    <t>Gas GLP</t>
  </si>
  <si>
    <t xml:space="preserve">PRODUCTOS Y UTILES VARIOS </t>
  </si>
  <si>
    <t>Material de limpieza</t>
  </si>
  <si>
    <t>Productos electricos y afines</t>
  </si>
  <si>
    <t>Productos y utiles varios</t>
  </si>
  <si>
    <t>TRANSFERENCIAS CORRIENTES</t>
  </si>
  <si>
    <t>TRANSFERENCIAS CORRIENTES A SECTOR PRIV.</t>
  </si>
  <si>
    <t>Becas nacionales</t>
  </si>
  <si>
    <t>TRANSFERENCIAS CORRIENTES A EMPRESAS PUBLICAS NO FINANCIERAS</t>
  </si>
  <si>
    <t>Otras Transf. Corrientes a Instituc Publicas no fcieras nac</t>
  </si>
  <si>
    <t>BIENES MUEBLES, INMUEBLES E INTANGIBLES</t>
  </si>
  <si>
    <t>MOBILIARIO Y EQUIPO</t>
  </si>
  <si>
    <t>Muebles de oficina y estanteria</t>
  </si>
  <si>
    <t>Metales y piedras preciosas</t>
  </si>
  <si>
    <t>Otros mobiliarios y equipos no identificados</t>
  </si>
  <si>
    <t>MAQUINARIAS OTROS EQUIPOS Y HERRAMIENTAS</t>
  </si>
  <si>
    <t>Maquinaria y equipo industrial</t>
  </si>
  <si>
    <t>Equipo de telecomunicaciones y señalamiento</t>
  </si>
  <si>
    <t xml:space="preserve">       TOTAL</t>
  </si>
  <si>
    <t>Responsable del registro</t>
  </si>
  <si>
    <t xml:space="preserve">Trabajo realizado por </t>
  </si>
  <si>
    <t>Firma Responsable y Sello de la Institución</t>
  </si>
  <si>
    <t>ACTIVIDAD   2</t>
  </si>
  <si>
    <t>Sueldos Fijos</t>
  </si>
  <si>
    <t>SOBRESUELDOS</t>
  </si>
  <si>
    <t>GRATIFICACIONES Y BONIFICACIONES</t>
  </si>
  <si>
    <t>Gratificaciones por pasantia</t>
  </si>
  <si>
    <t>SERVICIOS NO PERSONALES</t>
  </si>
  <si>
    <t>SERVICIOS BASICOS</t>
  </si>
  <si>
    <t>Telefono Local</t>
  </si>
  <si>
    <t>Fletes</t>
  </si>
  <si>
    <t>Pasajes</t>
  </si>
  <si>
    <t>MATERIALES Y SUMINISTROS</t>
  </si>
  <si>
    <t>ALIMENTOS Y PRODUCTOS AGROFORESTALES</t>
  </si>
  <si>
    <t>Alimentos y bebidas para personas</t>
  </si>
  <si>
    <t>PRODUCTOS DE CUERO, CAUCHO Y PLASTICO</t>
  </si>
  <si>
    <t>Articulos de plastico</t>
  </si>
  <si>
    <t>PRODUCTOS DE MINERALES, METALICOS Y NO MET</t>
  </si>
  <si>
    <t>Productos de cemento</t>
  </si>
  <si>
    <t>Productos de vidrio, loza y porcelana</t>
  </si>
  <si>
    <t>COMBUSTIBLES, LUBRICANTES, PROD QUIM Y CON</t>
  </si>
  <si>
    <t>Gasolina</t>
  </si>
  <si>
    <t>Gas natural</t>
  </si>
  <si>
    <t>Productos explosivos y pirotecnia</t>
  </si>
  <si>
    <t>PRODUCTOS Y UTILES VARIOS</t>
  </si>
  <si>
    <t>Equipos de computos</t>
  </si>
  <si>
    <t>ACTIVIDAD   3</t>
  </si>
  <si>
    <t>OBJ.</t>
  </si>
  <si>
    <t>CTA.</t>
  </si>
  <si>
    <t>SERV. D/CONSERVAC. REP MENORES E INST. M</t>
  </si>
  <si>
    <t>Manten.y Rep. Equipo de Transp. Tracc. Y Elev.</t>
  </si>
  <si>
    <t>Alimentos y Bebidas para personas</t>
  </si>
  <si>
    <t>PRODUCTOS D/MINERALES METAL. Y NO METAL</t>
  </si>
  <si>
    <t>Productos no  ferrosos</t>
  </si>
  <si>
    <t>COMBUSTIBLES, LUBRICANTES PROD QUIM. Y C</t>
  </si>
  <si>
    <t>MUEBLES DE OFICINA Y ESTANTERIA</t>
  </si>
  <si>
    <t>TOTAL</t>
  </si>
  <si>
    <t>TOTAL GENERAL</t>
  </si>
  <si>
    <t>DISMINUCION O INCREMENTO DE CAJA Y BCO</t>
  </si>
  <si>
    <t>Incremento de Caja y Banco</t>
  </si>
  <si>
    <t>DISMINUCION DE PASIVOS CORRIENTES</t>
  </si>
  <si>
    <t>Disminución de Ctas por Pagar de Corto Plazo Corriente Internas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</si>
</sst>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\(General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8"/>
      <name val="Arial Unicode MS"/>
      <family val="2"/>
    </font>
    <font>
      <sz val="18"/>
      <name val="Arial Unicode MS"/>
      <family val="2"/>
    </font>
    <font>
      <b/>
      <sz val="13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2">
    <xf numFmtId="0" fontId="0" fillId="0" borderId="0" xfId="0"/>
    <xf numFmtId="0" fontId="4" fillId="2" borderId="7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3" fillId="2" borderId="7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11" xfId="0" applyFont="1" applyFill="1" applyBorder="1"/>
    <xf numFmtId="0" fontId="3" fillId="2" borderId="8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3" xfId="0" applyFont="1" applyFill="1" applyBorder="1"/>
    <xf numFmtId="0" fontId="4" fillId="2" borderId="14" xfId="0" applyFont="1" applyFill="1" applyBorder="1"/>
    <xf numFmtId="0" fontId="4" fillId="2" borderId="15" xfId="0" applyFont="1" applyFill="1" applyBorder="1"/>
    <xf numFmtId="0" fontId="3" fillId="2" borderId="15" xfId="0" applyFont="1" applyFill="1" applyBorder="1"/>
    <xf numFmtId="0" fontId="4" fillId="2" borderId="16" xfId="0" applyFont="1" applyFill="1" applyBorder="1"/>
    <xf numFmtId="0" fontId="3" fillId="2" borderId="1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left"/>
    </xf>
    <xf numFmtId="0" fontId="3" fillId="2" borderId="24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left"/>
    </xf>
    <xf numFmtId="0" fontId="3" fillId="2" borderId="40" xfId="0" applyFont="1" applyFill="1" applyBorder="1" applyAlignment="1">
      <alignment horizontal="left"/>
    </xf>
    <xf numFmtId="0" fontId="3" fillId="2" borderId="41" xfId="0" applyFont="1" applyFill="1" applyBorder="1" applyAlignment="1">
      <alignment horizontal="left"/>
    </xf>
    <xf numFmtId="0" fontId="3" fillId="2" borderId="39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4" fillId="2" borderId="45" xfId="0" applyFont="1" applyFill="1" applyBorder="1"/>
    <xf numFmtId="0" fontId="4" fillId="2" borderId="5" xfId="0" applyFont="1" applyFill="1" applyBorder="1"/>
    <xf numFmtId="0" fontId="4" fillId="2" borderId="4" xfId="0" applyFont="1" applyFill="1" applyBorder="1"/>
    <xf numFmtId="164" fontId="4" fillId="2" borderId="45" xfId="1" applyFont="1" applyFill="1" applyBorder="1"/>
    <xf numFmtId="164" fontId="4" fillId="2" borderId="5" xfId="1" applyFont="1" applyFill="1" applyBorder="1"/>
    <xf numFmtId="0" fontId="4" fillId="2" borderId="46" xfId="0" applyFont="1" applyFill="1" applyBorder="1"/>
    <xf numFmtId="0" fontId="4" fillId="2" borderId="0" xfId="0" applyFont="1" applyFill="1" applyBorder="1" applyAlignment="1">
      <alignment horizontal="center"/>
    </xf>
    <xf numFmtId="0" fontId="5" fillId="2" borderId="4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3" fillId="2" borderId="46" xfId="1" applyFont="1" applyFill="1" applyBorder="1"/>
    <xf numFmtId="164" fontId="3" fillId="2" borderId="0" xfId="1" applyFont="1" applyFill="1" applyBorder="1"/>
    <xf numFmtId="164" fontId="4" fillId="2" borderId="46" xfId="1" applyFont="1" applyFill="1" applyBorder="1"/>
    <xf numFmtId="164" fontId="4" fillId="2" borderId="0" xfId="1" applyFont="1" applyFill="1" applyBorder="1"/>
    <xf numFmtId="0" fontId="6" fillId="2" borderId="4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46" xfId="0" applyFont="1" applyFill="1" applyBorder="1" applyAlignment="1">
      <alignment horizontal="center"/>
    </xf>
    <xf numFmtId="164" fontId="6" fillId="2" borderId="0" xfId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4" fillId="2" borderId="47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6" fillId="2" borderId="47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164" fontId="4" fillId="2" borderId="47" xfId="1" applyFont="1" applyFill="1" applyBorder="1"/>
    <xf numFmtId="164" fontId="4" fillId="2" borderId="15" xfId="1" applyFon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6" fillId="2" borderId="32" xfId="0" applyFont="1" applyFill="1" applyBorder="1" applyAlignment="1">
      <alignment vertical="center"/>
    </xf>
    <xf numFmtId="0" fontId="6" fillId="2" borderId="48" xfId="0" applyFont="1" applyFill="1" applyBorder="1" applyAlignment="1">
      <alignment vertical="center"/>
    </xf>
    <xf numFmtId="164" fontId="4" fillId="2" borderId="48" xfId="1" applyFont="1" applyFill="1" applyBorder="1"/>
    <xf numFmtId="164" fontId="4" fillId="2" borderId="32" xfId="1" applyFont="1" applyFill="1" applyBorder="1"/>
    <xf numFmtId="164" fontId="4" fillId="2" borderId="33" xfId="1" applyFont="1" applyFill="1" applyBorder="1"/>
    <xf numFmtId="164" fontId="4" fillId="2" borderId="8" xfId="1" applyFont="1" applyFill="1" applyBorder="1"/>
    <xf numFmtId="164" fontId="3" fillId="2" borderId="8" xfId="1" applyFont="1" applyFill="1" applyBorder="1"/>
    <xf numFmtId="164" fontId="5" fillId="2" borderId="46" xfId="1" applyFont="1" applyFill="1" applyBorder="1" applyAlignment="1">
      <alignment horizontal="left" vertical="center" wrapText="1"/>
    </xf>
    <xf numFmtId="164" fontId="3" fillId="2" borderId="46" xfId="1" applyFont="1" applyFill="1" applyBorder="1" applyAlignment="1"/>
    <xf numFmtId="164" fontId="3" fillId="2" borderId="8" xfId="1" applyFont="1" applyFill="1" applyBorder="1" applyAlignment="1">
      <alignment wrapText="1"/>
    </xf>
    <xf numFmtId="164" fontId="3" fillId="2" borderId="8" xfId="1" applyFont="1" applyFill="1" applyBorder="1" applyAlignment="1"/>
    <xf numFmtId="164" fontId="4" fillId="2" borderId="46" xfId="1" applyFont="1" applyFill="1" applyBorder="1" applyAlignment="1"/>
    <xf numFmtId="164" fontId="4" fillId="2" borderId="8" xfId="1" applyFont="1" applyFill="1" applyBorder="1" applyAlignment="1"/>
    <xf numFmtId="0" fontId="7" fillId="2" borderId="46" xfId="0" applyFont="1" applyFill="1" applyBorder="1" applyAlignment="1">
      <alignment vertical="center"/>
    </xf>
    <xf numFmtId="0" fontId="5" fillId="2" borderId="46" xfId="0" applyFont="1" applyFill="1" applyBorder="1" applyAlignment="1">
      <alignment vertical="center" wrapText="1"/>
    </xf>
    <xf numFmtId="0" fontId="8" fillId="2" borderId="4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/>
    <xf numFmtId="164" fontId="3" fillId="2" borderId="50" xfId="1" applyFont="1" applyFill="1" applyBorder="1"/>
    <xf numFmtId="43" fontId="3" fillId="2" borderId="2" xfId="0" applyNumberFormat="1" applyFont="1" applyFill="1" applyBorder="1" applyAlignment="1">
      <alignment horizontal="center"/>
    </xf>
    <xf numFmtId="164" fontId="3" fillId="2" borderId="51" xfId="1" applyFont="1" applyFill="1" applyBorder="1"/>
    <xf numFmtId="43" fontId="4" fillId="2" borderId="0" xfId="0" applyNumberFormat="1" applyFont="1" applyFill="1" applyBorder="1"/>
    <xf numFmtId="164" fontId="5" fillId="2" borderId="0" xfId="1" applyFont="1" applyFill="1" applyBorder="1"/>
    <xf numFmtId="0" fontId="4" fillId="2" borderId="52" xfId="0" applyFont="1" applyFill="1" applyBorder="1" applyAlignment="1">
      <alignment horizontal="center"/>
    </xf>
    <xf numFmtId="0" fontId="4" fillId="2" borderId="52" xfId="0" applyFont="1" applyFill="1" applyBorder="1"/>
    <xf numFmtId="164" fontId="4" fillId="2" borderId="52" xfId="1" applyFont="1" applyFill="1" applyBorder="1"/>
    <xf numFmtId="164" fontId="3" fillId="2" borderId="52" xfId="1" applyFont="1" applyFill="1" applyBorder="1"/>
    <xf numFmtId="0" fontId="10" fillId="2" borderId="0" xfId="0" applyFont="1" applyFill="1" applyBorder="1"/>
    <xf numFmtId="0" fontId="9" fillId="2" borderId="0" xfId="0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right"/>
    </xf>
    <xf numFmtId="4" fontId="4" fillId="2" borderId="0" xfId="0" applyNumberFormat="1" applyFont="1" applyFill="1" applyBorder="1"/>
    <xf numFmtId="0" fontId="3" fillId="2" borderId="0" xfId="0" applyFont="1" applyFill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4" fillId="2" borderId="8" xfId="0" applyFont="1" applyFill="1" applyBorder="1"/>
    <xf numFmtId="165" fontId="3" fillId="2" borderId="7" xfId="0" applyNumberFormat="1" applyFont="1" applyFill="1" applyBorder="1"/>
    <xf numFmtId="0" fontId="4" fillId="2" borderId="11" xfId="0" applyFont="1" applyFill="1" applyBorder="1"/>
    <xf numFmtId="0" fontId="4" fillId="2" borderId="53" xfId="0" applyFont="1" applyFill="1" applyBorder="1"/>
    <xf numFmtId="0" fontId="3" fillId="2" borderId="55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45" xfId="0" applyNumberFormat="1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/>
    </xf>
    <xf numFmtId="164" fontId="3" fillId="2" borderId="45" xfId="1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46" xfId="0" applyFont="1" applyFill="1" applyBorder="1" applyAlignment="1"/>
    <xf numFmtId="0" fontId="3" fillId="2" borderId="0" xfId="0" applyFont="1" applyFill="1" applyBorder="1" applyAlignment="1"/>
    <xf numFmtId="164" fontId="3" fillId="2" borderId="46" xfId="1" applyFont="1" applyFill="1" applyBorder="1" applyAlignment="1">
      <alignment horizontal="center"/>
    </xf>
    <xf numFmtId="164" fontId="3" fillId="2" borderId="8" xfId="1" applyFont="1" applyFill="1" applyBorder="1" applyAlignment="1">
      <alignment horizontal="center"/>
    </xf>
    <xf numFmtId="165" fontId="3" fillId="2" borderId="46" xfId="0" applyNumberFormat="1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0" fontId="4" fillId="2" borderId="46" xfId="0" applyFont="1" applyFill="1" applyBorder="1" applyAlignment="1"/>
    <xf numFmtId="0" fontId="4" fillId="2" borderId="0" xfId="0" applyFont="1" applyFill="1" applyBorder="1" applyAlignment="1"/>
    <xf numFmtId="164" fontId="4" fillId="2" borderId="8" xfId="1" applyFont="1" applyFill="1" applyBorder="1" applyAlignment="1">
      <alignment horizontal="center"/>
    </xf>
    <xf numFmtId="164" fontId="4" fillId="2" borderId="46" xfId="1" applyFont="1" applyFill="1" applyBorder="1" applyAlignment="1">
      <alignment horizontal="center"/>
    </xf>
    <xf numFmtId="164" fontId="6" fillId="2" borderId="0" xfId="1" applyFont="1" applyFill="1" applyBorder="1" applyAlignment="1">
      <alignment horizontal="left" vertical="center" wrapText="1"/>
    </xf>
    <xf numFmtId="164" fontId="5" fillId="2" borderId="0" xfId="1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center"/>
    </xf>
    <xf numFmtId="164" fontId="4" fillId="2" borderId="47" xfId="1" applyFont="1" applyFill="1" applyBorder="1" applyAlignment="1">
      <alignment horizontal="center"/>
    </xf>
    <xf numFmtId="0" fontId="3" fillId="2" borderId="57" xfId="0" applyFont="1" applyFill="1" applyBorder="1" applyAlignment="1">
      <alignment horizontal="left"/>
    </xf>
    <xf numFmtId="164" fontId="3" fillId="2" borderId="3" xfId="1" applyFont="1" applyFill="1" applyBorder="1"/>
    <xf numFmtId="164" fontId="3" fillId="2" borderId="49" xfId="1" applyFont="1" applyFill="1" applyBorder="1"/>
    <xf numFmtId="164" fontId="3" fillId="2" borderId="0" xfId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left"/>
    </xf>
    <xf numFmtId="0" fontId="3" fillId="2" borderId="58" xfId="0" applyFont="1" applyFill="1" applyBorder="1" applyAlignment="1">
      <alignment horizontal="center"/>
    </xf>
    <xf numFmtId="0" fontId="3" fillId="2" borderId="59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/>
    </xf>
    <xf numFmtId="0" fontId="3" fillId="2" borderId="46" xfId="0" applyFont="1" applyFill="1" applyBorder="1"/>
    <xf numFmtId="43" fontId="3" fillId="2" borderId="46" xfId="0" applyNumberFormat="1" applyFont="1" applyFill="1" applyBorder="1"/>
    <xf numFmtId="43" fontId="3" fillId="2" borderId="0" xfId="0" applyNumberFormat="1" applyFont="1" applyFill="1" applyBorder="1"/>
    <xf numFmtId="0" fontId="5" fillId="2" borderId="7" xfId="0" applyFont="1" applyFill="1" applyBorder="1" applyAlignment="1">
      <alignment vertical="center"/>
    </xf>
    <xf numFmtId="43" fontId="4" fillId="2" borderId="46" xfId="0" applyNumberFormat="1" applyFont="1" applyFill="1" applyBorder="1"/>
    <xf numFmtId="0" fontId="4" fillId="2" borderId="47" xfId="0" applyFont="1" applyFill="1" applyBorder="1"/>
    <xf numFmtId="0" fontId="6" fillId="2" borderId="7" xfId="0" applyFont="1" applyFill="1" applyBorder="1" applyAlignment="1">
      <alignment vertical="center"/>
    </xf>
    <xf numFmtId="164" fontId="3" fillId="2" borderId="45" xfId="1" applyFont="1" applyFill="1" applyBorder="1"/>
    <xf numFmtId="164" fontId="3" fillId="2" borderId="6" xfId="1" applyFont="1" applyFill="1" applyBorder="1"/>
    <xf numFmtId="0" fontId="4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64" fontId="3" fillId="2" borderId="1" xfId="1" applyFont="1" applyFill="1" applyBorder="1"/>
    <xf numFmtId="164" fontId="3" fillId="2" borderId="57" xfId="1" applyFont="1" applyFill="1" applyBorder="1"/>
    <xf numFmtId="43" fontId="4" fillId="2" borderId="0" xfId="0" applyNumberFormat="1" applyFont="1" applyFill="1"/>
    <xf numFmtId="4" fontId="4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/>
    <xf numFmtId="43" fontId="3" fillId="2" borderId="0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left"/>
    </xf>
    <xf numFmtId="0" fontId="3" fillId="2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5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right"/>
    </xf>
    <xf numFmtId="0" fontId="3" fillId="2" borderId="4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5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/>
    </xf>
    <xf numFmtId="164" fontId="4" fillId="2" borderId="1" xfId="1" applyFont="1" applyFill="1" applyBorder="1"/>
    <xf numFmtId="43" fontId="3" fillId="2" borderId="57" xfId="0" applyNumberFormat="1" applyFont="1" applyFill="1" applyBorder="1"/>
    <xf numFmtId="0" fontId="3" fillId="2" borderId="0" xfId="1" applyNumberFormat="1" applyFont="1" applyFill="1" applyBorder="1"/>
    <xf numFmtId="43" fontId="3" fillId="2" borderId="0" xfId="1" applyNumberFormat="1" applyFont="1" applyFill="1" applyBorder="1"/>
    <xf numFmtId="43" fontId="3" fillId="2" borderId="0" xfId="0" applyNumberFormat="1" applyFont="1" applyFill="1" applyBorder="1" applyAlignment="1">
      <alignment horizontal="right"/>
    </xf>
    <xf numFmtId="43" fontId="4" fillId="2" borderId="0" xfId="0" applyNumberFormat="1" applyFont="1" applyFill="1" applyAlignment="1">
      <alignment horizontal="center"/>
    </xf>
    <xf numFmtId="164" fontId="4" fillId="2" borderId="0" xfId="1" applyFont="1" applyFill="1"/>
    <xf numFmtId="43" fontId="3" fillId="2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/>
    <xf numFmtId="4" fontId="11" fillId="0" borderId="0" xfId="0" applyNumberFormat="1" applyFont="1" applyFill="1" applyAlignment="1">
      <alignment horizontal="center"/>
    </xf>
    <xf numFmtId="164" fontId="12" fillId="0" borderId="0" xfId="1" applyFont="1" applyFill="1"/>
    <xf numFmtId="165" fontId="3" fillId="2" borderId="4" xfId="0" applyNumberFormat="1" applyFont="1" applyFill="1" applyBorder="1" applyAlignment="1">
      <alignment horizontal="center"/>
    </xf>
    <xf numFmtId="165" fontId="3" fillId="2" borderId="14" xfId="0" applyNumberFormat="1" applyFont="1" applyFill="1" applyBorder="1" applyAlignment="1">
      <alignment horizontal="center"/>
    </xf>
    <xf numFmtId="165" fontId="3" fillId="2" borderId="45" xfId="0" applyNumberFormat="1" applyFont="1" applyFill="1" applyBorder="1" applyAlignment="1">
      <alignment horizontal="center"/>
    </xf>
    <xf numFmtId="165" fontId="3" fillId="2" borderId="47" xfId="0" applyNumberFormat="1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/>
    </xf>
    <xf numFmtId="165" fontId="3" fillId="2" borderId="16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31" xfId="0" applyNumberFormat="1" applyFont="1" applyFill="1" applyBorder="1" applyAlignment="1">
      <alignment horizontal="center"/>
    </xf>
    <xf numFmtId="165" fontId="3" fillId="2" borderId="48" xfId="0" applyNumberFormat="1" applyFont="1" applyFill="1" applyBorder="1" applyAlignment="1">
      <alignment horizontal="center"/>
    </xf>
    <xf numFmtId="165" fontId="3" fillId="2" borderId="30" xfId="0" applyNumberFormat="1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3" fillId="2" borderId="65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/>
    </xf>
    <xf numFmtId="165" fontId="4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/>
    </xf>
    <xf numFmtId="165" fontId="3" fillId="2" borderId="29" xfId="0" applyNumberFormat="1" applyFont="1" applyFill="1" applyBorder="1" applyAlignment="1">
      <alignment horizontal="center"/>
    </xf>
    <xf numFmtId="165" fontId="3" fillId="2" borderId="61" xfId="0" applyNumberFormat="1" applyFont="1" applyFill="1" applyBorder="1" applyAlignment="1">
      <alignment horizontal="center"/>
    </xf>
    <xf numFmtId="165" fontId="3" fillId="2" borderId="55" xfId="0" applyNumberFormat="1" applyFont="1" applyFill="1" applyBorder="1" applyAlignment="1">
      <alignment horizontal="center"/>
    </xf>
    <xf numFmtId="165" fontId="3" fillId="2" borderId="10" xfId="0" applyNumberFormat="1" applyFont="1" applyFill="1" applyBorder="1" applyAlignment="1">
      <alignment horizontal="center"/>
    </xf>
    <xf numFmtId="165" fontId="3" fillId="2" borderId="6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165" fontId="3" fillId="2" borderId="23" xfId="0" applyNumberFormat="1" applyFont="1" applyFill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/>
    </xf>
    <xf numFmtId="165" fontId="3" fillId="2" borderId="25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6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65" fontId="3" fillId="2" borderId="32" xfId="0" applyNumberFormat="1" applyFont="1" applyFill="1" applyBorder="1" applyAlignment="1">
      <alignment horizontal="center"/>
    </xf>
    <xf numFmtId="165" fontId="3" fillId="2" borderId="33" xfId="0" applyNumberFormat="1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35" xfId="0" applyFont="1" applyFill="1" applyBorder="1" applyAlignment="1">
      <alignment horizontal="center"/>
    </xf>
    <xf numFmtId="165" fontId="3" fillId="2" borderId="37" xfId="0" applyNumberFormat="1" applyFont="1" applyFill="1" applyBorder="1" applyAlignment="1">
      <alignment horizontal="center"/>
    </xf>
    <xf numFmtId="165" fontId="3" fillId="2" borderId="38" xfId="0" applyNumberFormat="1" applyFont="1" applyFill="1" applyBorder="1" applyAlignment="1">
      <alignment horizontal="center"/>
    </xf>
    <xf numFmtId="165" fontId="3" fillId="2" borderId="13" xfId="0" applyNumberFormat="1" applyFont="1" applyFill="1" applyBorder="1" applyAlignment="1">
      <alignment horizontal="center"/>
    </xf>
    <xf numFmtId="165" fontId="3" fillId="2" borderId="39" xfId="0" applyNumberFormat="1" applyFont="1" applyFill="1" applyBorder="1" applyAlignment="1">
      <alignment horizontal="center"/>
    </xf>
    <xf numFmtId="165" fontId="3" fillId="2" borderId="40" xfId="0" applyNumberFormat="1" applyFont="1" applyFill="1" applyBorder="1" applyAlignment="1">
      <alignment horizontal="center"/>
    </xf>
    <xf numFmtId="165" fontId="3" fillId="2" borderId="4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TIVIDADES/Downloads/EJECUCION%20PRESUP%20MARZO%202017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ingresos"/>
      <sheetName val="relacion de gastos"/>
      <sheetName val="VAR. CXP "/>
      <sheetName val="VAR. EFECT"/>
      <sheetName val="EJ. INGRESO"/>
      <sheetName val="EJEC GTO "/>
    </sheetNames>
    <sheetDataSet>
      <sheetData sheetId="0">
        <row r="37">
          <cell r="B37">
            <v>518588.19</v>
          </cell>
        </row>
      </sheetData>
      <sheetData sheetId="1"/>
      <sheetData sheetId="2"/>
      <sheetData sheetId="3">
        <row r="11">
          <cell r="B11">
            <v>2961257.620000001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2"/>
  <sheetViews>
    <sheetView tabSelected="1" topLeftCell="A136" zoomScale="70" zoomScaleNormal="70" workbookViewId="0">
      <selection activeCell="A3" sqref="A3"/>
    </sheetView>
  </sheetViews>
  <sheetFormatPr baseColWidth="10" defaultRowHeight="15" x14ac:dyDescent="0.25"/>
  <cols>
    <col min="1" max="1" width="10.28515625" customWidth="1"/>
    <col min="2" max="2" width="9.85546875" customWidth="1"/>
    <col min="3" max="4" width="10.85546875" customWidth="1"/>
    <col min="5" max="5" width="9.5703125" customWidth="1"/>
    <col min="6" max="6" width="11.42578125" customWidth="1"/>
    <col min="14" max="14" width="21.28515625" customWidth="1"/>
    <col min="15" max="15" width="27" customWidth="1"/>
    <col min="16" max="16" width="29.42578125" customWidth="1"/>
    <col min="17" max="17" width="41.85546875" customWidth="1"/>
  </cols>
  <sheetData>
    <row r="1" spans="1:17" ht="21" thickBot="1" x14ac:dyDescent="0.35">
      <c r="A1" s="247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9"/>
    </row>
    <row r="2" spans="1:17" ht="23.25" x14ac:dyDescent="0.35">
      <c r="A2" s="211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12"/>
    </row>
    <row r="3" spans="1:17" ht="23.25" x14ac:dyDescent="0.3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4" t="s">
        <v>2</v>
      </c>
    </row>
    <row r="4" spans="1:17" ht="23.25" x14ac:dyDescent="0.35">
      <c r="A4" s="5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6"/>
      <c r="P4" s="7" t="s">
        <v>4</v>
      </c>
      <c r="Q4" s="8"/>
    </row>
    <row r="5" spans="1:17" ht="23.25" x14ac:dyDescent="0.35">
      <c r="A5" s="5" t="s">
        <v>5</v>
      </c>
      <c r="B5" s="2"/>
      <c r="C5" s="2">
        <v>5120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9"/>
      <c r="P5" s="10" t="s">
        <v>6</v>
      </c>
      <c r="Q5" s="11"/>
    </row>
    <row r="6" spans="1:17" ht="23.25" x14ac:dyDescent="0.35">
      <c r="A6" s="5" t="s">
        <v>7</v>
      </c>
      <c r="B6" s="2"/>
      <c r="C6" s="9" t="s">
        <v>8</v>
      </c>
      <c r="D6" s="9"/>
      <c r="E6" s="9"/>
      <c r="F6" s="2"/>
      <c r="G6" s="2"/>
      <c r="H6" s="2"/>
      <c r="I6" s="2"/>
      <c r="J6" s="2"/>
      <c r="K6" s="2"/>
      <c r="L6" s="2"/>
      <c r="M6" s="2"/>
      <c r="N6" s="12" t="s">
        <v>9</v>
      </c>
      <c r="O6" s="9"/>
      <c r="P6" s="10" t="s">
        <v>10</v>
      </c>
      <c r="Q6" s="11"/>
    </row>
    <row r="7" spans="1:17" ht="23.25" x14ac:dyDescent="0.35">
      <c r="A7" s="5" t="s">
        <v>11</v>
      </c>
      <c r="B7" s="2">
        <v>2017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9"/>
      <c r="P7" s="13" t="s">
        <v>12</v>
      </c>
      <c r="Q7" s="14"/>
    </row>
    <row r="8" spans="1:17" ht="24" thickBot="1" x14ac:dyDescent="0.4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"/>
      <c r="Q8" s="18"/>
    </row>
    <row r="9" spans="1:17" ht="23.25" x14ac:dyDescent="0.35">
      <c r="A9" s="213" t="s">
        <v>13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5"/>
      <c r="M9" s="19"/>
      <c r="N9" s="19"/>
      <c r="O9" s="226" t="s">
        <v>14</v>
      </c>
      <c r="P9" s="214"/>
      <c r="Q9" s="227"/>
    </row>
    <row r="10" spans="1:17" ht="24" thickBot="1" x14ac:dyDescent="0.4">
      <c r="A10" s="20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21"/>
      <c r="M10" s="12"/>
      <c r="N10" s="12"/>
      <c r="O10" s="22"/>
      <c r="P10" s="12"/>
      <c r="Q10" s="23"/>
    </row>
    <row r="11" spans="1:17" ht="23.25" x14ac:dyDescent="0.35">
      <c r="A11" s="228">
        <v>2</v>
      </c>
      <c r="B11" s="229"/>
      <c r="C11" s="229"/>
      <c r="D11" s="229"/>
      <c r="E11" s="229"/>
      <c r="F11" s="229"/>
      <c r="G11" s="230"/>
      <c r="H11" s="24" t="s">
        <v>15</v>
      </c>
      <c r="I11" s="25"/>
      <c r="J11" s="25"/>
      <c r="K11" s="25"/>
      <c r="L11" s="25"/>
      <c r="M11" s="25"/>
      <c r="N11" s="25"/>
      <c r="O11" s="26" t="s">
        <v>16</v>
      </c>
      <c r="P11" s="27" t="s">
        <v>17</v>
      </c>
      <c r="Q11" s="28" t="s">
        <v>18</v>
      </c>
    </row>
    <row r="12" spans="1:17" ht="23.25" x14ac:dyDescent="0.35">
      <c r="A12" s="231" t="s">
        <v>19</v>
      </c>
      <c r="B12" s="29" t="s">
        <v>20</v>
      </c>
      <c r="C12" s="217" t="s">
        <v>21</v>
      </c>
      <c r="D12" s="29" t="s">
        <v>22</v>
      </c>
      <c r="E12" s="29" t="s">
        <v>23</v>
      </c>
      <c r="F12" s="233" t="s">
        <v>24</v>
      </c>
      <c r="G12" s="217" t="s">
        <v>25</v>
      </c>
      <c r="H12" s="217" t="s">
        <v>26</v>
      </c>
      <c r="I12" s="217" t="s">
        <v>27</v>
      </c>
      <c r="J12" s="29"/>
      <c r="K12" s="29" t="s">
        <v>20</v>
      </c>
      <c r="L12" s="29"/>
      <c r="M12" s="29"/>
      <c r="N12" s="30"/>
      <c r="O12" s="196">
        <v>3</v>
      </c>
      <c r="P12" s="235">
        <v>4</v>
      </c>
      <c r="Q12" s="236">
        <v>5</v>
      </c>
    </row>
    <row r="13" spans="1:17" ht="23.25" x14ac:dyDescent="0.35">
      <c r="A13" s="250"/>
      <c r="B13" s="31" t="s">
        <v>19</v>
      </c>
      <c r="C13" s="240"/>
      <c r="D13" s="31" t="s">
        <v>28</v>
      </c>
      <c r="E13" s="31" t="s">
        <v>29</v>
      </c>
      <c r="F13" s="251"/>
      <c r="G13" s="240"/>
      <c r="H13" s="240"/>
      <c r="I13" s="240"/>
      <c r="J13" s="31" t="s">
        <v>30</v>
      </c>
      <c r="K13" s="31" t="s">
        <v>30</v>
      </c>
      <c r="L13" s="31" t="s">
        <v>31</v>
      </c>
      <c r="M13" s="31" t="s">
        <v>31</v>
      </c>
      <c r="N13" s="32" t="s">
        <v>32</v>
      </c>
      <c r="O13" s="241"/>
      <c r="P13" s="242"/>
      <c r="Q13" s="243"/>
    </row>
    <row r="14" spans="1:17" ht="24" thickBot="1" x14ac:dyDescent="0.4">
      <c r="A14" s="244">
        <v>2</v>
      </c>
      <c r="B14" s="245"/>
      <c r="C14" s="245"/>
      <c r="D14" s="245"/>
      <c r="E14" s="245"/>
      <c r="F14" s="245"/>
      <c r="G14" s="246"/>
      <c r="H14" s="33" t="s">
        <v>15</v>
      </c>
      <c r="I14" s="34"/>
      <c r="J14" s="34"/>
      <c r="K14" s="34"/>
      <c r="L14" s="35"/>
      <c r="M14" s="35"/>
      <c r="N14" s="34"/>
      <c r="O14" s="36" t="s">
        <v>16</v>
      </c>
      <c r="P14" s="37" t="s">
        <v>17</v>
      </c>
      <c r="Q14" s="38" t="s">
        <v>18</v>
      </c>
    </row>
    <row r="15" spans="1:17" ht="23.25" x14ac:dyDescent="0.35">
      <c r="A15" s="39"/>
      <c r="B15" s="40"/>
      <c r="C15" s="39"/>
      <c r="D15" s="40"/>
      <c r="E15" s="41"/>
      <c r="F15" s="39"/>
      <c r="G15" s="40"/>
      <c r="H15" s="39"/>
      <c r="I15" s="39"/>
      <c r="J15" s="40"/>
      <c r="K15" s="39"/>
      <c r="L15" s="40"/>
      <c r="M15" s="39"/>
      <c r="N15" s="40"/>
      <c r="O15" s="42"/>
      <c r="P15" s="43"/>
      <c r="Q15" s="42"/>
    </row>
    <row r="16" spans="1:17" ht="23.25" x14ac:dyDescent="0.35">
      <c r="A16" s="44">
        <v>11</v>
      </c>
      <c r="B16" s="2" t="s">
        <v>33</v>
      </c>
      <c r="C16" s="44" t="s">
        <v>33</v>
      </c>
      <c r="D16" s="45">
        <v>0.1</v>
      </c>
      <c r="E16" s="1" t="s">
        <v>34</v>
      </c>
      <c r="F16" s="44"/>
      <c r="G16" s="2"/>
      <c r="H16" s="46">
        <v>2</v>
      </c>
      <c r="I16" s="46">
        <v>1</v>
      </c>
      <c r="J16" s="47"/>
      <c r="K16" s="46"/>
      <c r="L16" s="47"/>
      <c r="M16" s="46"/>
      <c r="N16" s="47" t="s">
        <v>35</v>
      </c>
      <c r="O16" s="48">
        <f>+P16-Q16</f>
        <v>358233.45999999996</v>
      </c>
      <c r="P16" s="49">
        <f>+P18+P23+P29+P32</f>
        <v>3119214.79</v>
      </c>
      <c r="Q16" s="48">
        <f>+Q18+Q23+Q29</f>
        <v>2760981.33</v>
      </c>
    </row>
    <row r="17" spans="1:17" ht="23.25" x14ac:dyDescent="0.35">
      <c r="A17" s="44"/>
      <c r="B17" s="2"/>
      <c r="C17" s="44"/>
      <c r="D17" s="2"/>
      <c r="E17" s="1"/>
      <c r="F17" s="44"/>
      <c r="G17" s="2"/>
      <c r="H17" s="46"/>
      <c r="I17" s="46"/>
      <c r="J17" s="47"/>
      <c r="K17" s="46"/>
      <c r="L17" s="47"/>
      <c r="M17" s="46"/>
      <c r="N17" s="47"/>
      <c r="O17" s="50"/>
      <c r="P17" s="51"/>
      <c r="Q17" s="50"/>
    </row>
    <row r="18" spans="1:17" ht="23.25" x14ac:dyDescent="0.35">
      <c r="A18" s="44"/>
      <c r="B18" s="2" t="s">
        <v>33</v>
      </c>
      <c r="C18" s="44" t="s">
        <v>33</v>
      </c>
      <c r="D18" s="2"/>
      <c r="E18" s="1" t="s">
        <v>34</v>
      </c>
      <c r="F18" s="44" t="s">
        <v>36</v>
      </c>
      <c r="G18" s="2"/>
      <c r="H18" s="46">
        <v>2</v>
      </c>
      <c r="I18" s="46">
        <v>1</v>
      </c>
      <c r="J18" s="47">
        <v>1</v>
      </c>
      <c r="K18" s="46"/>
      <c r="L18" s="47"/>
      <c r="M18" s="46"/>
      <c r="N18" s="47" t="s">
        <v>37</v>
      </c>
      <c r="O18" s="48"/>
      <c r="P18" s="49">
        <f>+P19+P20+P21</f>
        <v>2613402.7800000003</v>
      </c>
      <c r="Q18" s="48">
        <f>+Q19+Q20+Q21</f>
        <v>2563514.0700000003</v>
      </c>
    </row>
    <row r="19" spans="1:17" ht="23.25" x14ac:dyDescent="0.35">
      <c r="A19" s="44"/>
      <c r="B19" s="2"/>
      <c r="C19" s="44"/>
      <c r="D19" s="2"/>
      <c r="E19" s="1"/>
      <c r="F19" s="44"/>
      <c r="G19" s="45">
        <v>100</v>
      </c>
      <c r="H19" s="52">
        <v>2</v>
      </c>
      <c r="I19" s="52">
        <v>1</v>
      </c>
      <c r="J19" s="53">
        <v>1</v>
      </c>
      <c r="K19" s="52">
        <v>1</v>
      </c>
      <c r="L19" s="53">
        <v>0</v>
      </c>
      <c r="M19" s="52">
        <v>1</v>
      </c>
      <c r="N19" s="53" t="s">
        <v>38</v>
      </c>
      <c r="O19" s="50"/>
      <c r="P19" s="51">
        <f>1803600+214015</f>
        <v>2017615</v>
      </c>
      <c r="Q19" s="50">
        <f>1803600+214015</f>
        <v>2017615</v>
      </c>
    </row>
    <row r="20" spans="1:17" ht="23.25" x14ac:dyDescent="0.35">
      <c r="A20" s="44"/>
      <c r="B20" s="2"/>
      <c r="C20" s="44"/>
      <c r="D20" s="2"/>
      <c r="E20" s="1"/>
      <c r="F20" s="44"/>
      <c r="G20" s="45">
        <v>100</v>
      </c>
      <c r="H20" s="52">
        <v>2</v>
      </c>
      <c r="I20" s="52">
        <v>1</v>
      </c>
      <c r="J20" s="53">
        <v>1</v>
      </c>
      <c r="K20" s="52">
        <v>2</v>
      </c>
      <c r="L20" s="53">
        <v>0</v>
      </c>
      <c r="M20" s="52">
        <v>1</v>
      </c>
      <c r="N20" s="53" t="s">
        <v>39</v>
      </c>
      <c r="O20" s="50"/>
      <c r="P20" s="51">
        <f>30000+30000+30000+30000+17419.35+10000+222700+38571.42+14516.12+40000</f>
        <v>463206.88999999996</v>
      </c>
      <c r="Q20" s="50">
        <f>27000+27000+27000+27000+15677.41+9000+196861.98+34714.28+13064.51+36000</f>
        <v>413318.18000000005</v>
      </c>
    </row>
    <row r="21" spans="1:17" ht="23.25" x14ac:dyDescent="0.35">
      <c r="A21" s="44"/>
      <c r="B21" s="2"/>
      <c r="C21" s="44"/>
      <c r="D21" s="2"/>
      <c r="E21" s="1"/>
      <c r="F21" s="44"/>
      <c r="G21" s="45">
        <v>9995</v>
      </c>
      <c r="H21" s="52">
        <v>2</v>
      </c>
      <c r="I21" s="52">
        <v>1</v>
      </c>
      <c r="J21" s="53">
        <v>1</v>
      </c>
      <c r="K21" s="52">
        <v>5</v>
      </c>
      <c r="L21" s="53">
        <v>0</v>
      </c>
      <c r="M21" s="52">
        <v>1</v>
      </c>
      <c r="N21" s="53" t="s">
        <v>40</v>
      </c>
      <c r="O21" s="50"/>
      <c r="P21" s="51">
        <f>88736.87+43844.02</f>
        <v>132580.88999999998</v>
      </c>
      <c r="Q21" s="50">
        <f>88736.87+43844.02</f>
        <v>132580.88999999998</v>
      </c>
    </row>
    <row r="22" spans="1:17" ht="23.25" x14ac:dyDescent="0.35">
      <c r="A22" s="44"/>
      <c r="B22" s="2"/>
      <c r="C22" s="44"/>
      <c r="D22" s="2"/>
      <c r="E22" s="1"/>
      <c r="F22" s="44"/>
      <c r="G22" s="45"/>
      <c r="H22" s="52"/>
      <c r="I22" s="52"/>
      <c r="J22" s="53"/>
      <c r="K22" s="52"/>
      <c r="L22" s="53"/>
      <c r="M22" s="52"/>
      <c r="N22" s="53"/>
      <c r="O22" s="50"/>
      <c r="P22" s="51"/>
      <c r="Q22" s="50"/>
    </row>
    <row r="23" spans="1:17" ht="23.25" x14ac:dyDescent="0.35">
      <c r="A23" s="54"/>
      <c r="B23" s="2" t="s">
        <v>33</v>
      </c>
      <c r="C23" s="44" t="s">
        <v>33</v>
      </c>
      <c r="D23" s="2"/>
      <c r="E23" s="1" t="s">
        <v>34</v>
      </c>
      <c r="F23" s="44" t="s">
        <v>36</v>
      </c>
      <c r="G23" s="45"/>
      <c r="H23" s="46">
        <v>2</v>
      </c>
      <c r="I23" s="46">
        <v>1</v>
      </c>
      <c r="J23" s="47">
        <v>2</v>
      </c>
      <c r="K23" s="46"/>
      <c r="L23" s="47"/>
      <c r="M23" s="46"/>
      <c r="N23" s="47" t="s">
        <v>41</v>
      </c>
      <c r="O23" s="50"/>
      <c r="P23" s="49">
        <f>+P24+P25+P26+P27</f>
        <v>198648</v>
      </c>
      <c r="Q23" s="48">
        <f>+Q24+Q25+Q26+Q27</f>
        <v>171217.26</v>
      </c>
    </row>
    <row r="24" spans="1:17" ht="23.25" x14ac:dyDescent="0.35">
      <c r="A24" s="54"/>
      <c r="B24" s="2"/>
      <c r="C24" s="44"/>
      <c r="D24" s="2"/>
      <c r="E24" s="1"/>
      <c r="F24" s="44"/>
      <c r="G24" s="45">
        <v>9995</v>
      </c>
      <c r="H24" s="52">
        <v>2</v>
      </c>
      <c r="I24" s="52">
        <v>1</v>
      </c>
      <c r="J24" s="53">
        <v>2</v>
      </c>
      <c r="K24" s="52">
        <v>2</v>
      </c>
      <c r="L24" s="53">
        <v>0</v>
      </c>
      <c r="M24" s="52">
        <v>1</v>
      </c>
      <c r="N24" s="53" t="s">
        <v>42</v>
      </c>
      <c r="O24" s="50"/>
      <c r="P24" s="51">
        <v>18000</v>
      </c>
      <c r="Q24" s="50">
        <v>18000</v>
      </c>
    </row>
    <row r="25" spans="1:17" ht="23.25" x14ac:dyDescent="0.35">
      <c r="A25" s="54"/>
      <c r="B25" s="2"/>
      <c r="C25" s="44"/>
      <c r="D25" s="2"/>
      <c r="E25" s="1"/>
      <c r="F25" s="44"/>
      <c r="G25" s="45">
        <v>9995</v>
      </c>
      <c r="H25" s="52">
        <v>2</v>
      </c>
      <c r="I25" s="52">
        <v>1</v>
      </c>
      <c r="J25" s="53">
        <v>2</v>
      </c>
      <c r="K25" s="52">
        <v>2</v>
      </c>
      <c r="L25" s="53">
        <v>0</v>
      </c>
      <c r="M25" s="52">
        <v>4</v>
      </c>
      <c r="N25" s="53" t="s">
        <v>43</v>
      </c>
      <c r="O25" s="50"/>
      <c r="P25" s="51">
        <v>3200</v>
      </c>
      <c r="Q25" s="50">
        <v>3200</v>
      </c>
    </row>
    <row r="26" spans="1:17" ht="23.25" x14ac:dyDescent="0.35">
      <c r="A26" s="54"/>
      <c r="B26" s="2"/>
      <c r="C26" s="44"/>
      <c r="D26" s="2"/>
      <c r="E26" s="1"/>
      <c r="F26" s="44"/>
      <c r="G26" s="45">
        <v>9995</v>
      </c>
      <c r="H26" s="52">
        <v>2</v>
      </c>
      <c r="I26" s="52">
        <v>1</v>
      </c>
      <c r="J26" s="53">
        <v>2</v>
      </c>
      <c r="K26" s="52">
        <v>2</v>
      </c>
      <c r="L26" s="53">
        <v>0</v>
      </c>
      <c r="M26" s="52">
        <v>6</v>
      </c>
      <c r="N26" s="53" t="s">
        <v>44</v>
      </c>
      <c r="O26" s="50"/>
      <c r="P26" s="51">
        <v>29448</v>
      </c>
      <c r="Q26" s="50">
        <v>29448</v>
      </c>
    </row>
    <row r="27" spans="1:17" ht="23.25" x14ac:dyDescent="0.35">
      <c r="A27" s="54"/>
      <c r="B27" s="2"/>
      <c r="C27" s="44"/>
      <c r="D27" s="2"/>
      <c r="E27" s="1"/>
      <c r="F27" s="44"/>
      <c r="G27" s="45">
        <v>9995</v>
      </c>
      <c r="H27" s="52">
        <v>2</v>
      </c>
      <c r="I27" s="52">
        <v>1</v>
      </c>
      <c r="J27" s="53">
        <v>2</v>
      </c>
      <c r="K27" s="52">
        <v>2</v>
      </c>
      <c r="L27" s="53">
        <v>0</v>
      </c>
      <c r="M27" s="52">
        <v>8</v>
      </c>
      <c r="N27" s="53" t="s">
        <v>45</v>
      </c>
      <c r="O27" s="50"/>
      <c r="P27" s="55">
        <f>8500+3000+2500+30000+8500+3000+2500+30000+30000+30000</f>
        <v>148000</v>
      </c>
      <c r="Q27" s="50">
        <f>6374.99+2700+2250+25087.72+6374.99+2700+2250+25087.72+25087.72+22656.12</f>
        <v>120569.26</v>
      </c>
    </row>
    <row r="28" spans="1:17" ht="23.25" x14ac:dyDescent="0.35">
      <c r="A28" s="54"/>
      <c r="B28" s="45"/>
      <c r="C28" s="54"/>
      <c r="D28" s="45"/>
      <c r="E28" s="56"/>
      <c r="F28" s="54"/>
      <c r="G28" s="45"/>
      <c r="H28" s="52"/>
      <c r="I28" s="52"/>
      <c r="J28" s="53"/>
      <c r="K28" s="52"/>
      <c r="L28" s="53"/>
      <c r="M28" s="52"/>
      <c r="N28" s="53"/>
      <c r="O28" s="50"/>
      <c r="P28" s="51"/>
      <c r="Q28" s="50"/>
    </row>
    <row r="29" spans="1:17" ht="23.25" x14ac:dyDescent="0.35">
      <c r="A29" s="54"/>
      <c r="B29" s="45"/>
      <c r="C29" s="54"/>
      <c r="D29" s="45"/>
      <c r="E29" s="56"/>
      <c r="F29" s="54"/>
      <c r="G29" s="45"/>
      <c r="H29" s="46">
        <v>2</v>
      </c>
      <c r="I29" s="46">
        <v>1</v>
      </c>
      <c r="J29" s="47">
        <v>3</v>
      </c>
      <c r="K29" s="46"/>
      <c r="L29" s="47"/>
      <c r="M29" s="46"/>
      <c r="N29" s="47" t="s">
        <v>46</v>
      </c>
      <c r="O29" s="48"/>
      <c r="P29" s="49">
        <f>+P30</f>
        <v>26250</v>
      </c>
      <c r="Q29" s="48">
        <f>+Q30</f>
        <v>26250</v>
      </c>
    </row>
    <row r="30" spans="1:17" ht="23.25" x14ac:dyDescent="0.35">
      <c r="A30" s="54"/>
      <c r="B30" s="45"/>
      <c r="C30" s="54"/>
      <c r="D30" s="45"/>
      <c r="E30" s="56"/>
      <c r="F30" s="54"/>
      <c r="G30" s="45">
        <v>9995</v>
      </c>
      <c r="H30" s="52">
        <v>2</v>
      </c>
      <c r="I30" s="52">
        <v>1</v>
      </c>
      <c r="J30" s="53">
        <v>3</v>
      </c>
      <c r="K30" s="52">
        <v>2</v>
      </c>
      <c r="L30" s="53">
        <v>0</v>
      </c>
      <c r="M30" s="52">
        <v>1</v>
      </c>
      <c r="N30" s="53" t="s">
        <v>47</v>
      </c>
      <c r="O30" s="50"/>
      <c r="P30" s="51">
        <v>26250</v>
      </c>
      <c r="Q30" s="50">
        <v>26250</v>
      </c>
    </row>
    <row r="31" spans="1:17" ht="23.25" x14ac:dyDescent="0.35">
      <c r="A31" s="54"/>
      <c r="B31" s="45"/>
      <c r="C31" s="54"/>
      <c r="D31" s="45"/>
      <c r="E31" s="56"/>
      <c r="F31" s="54"/>
      <c r="G31" s="45"/>
      <c r="H31" s="52"/>
      <c r="I31" s="52"/>
      <c r="J31" s="53"/>
      <c r="K31" s="52"/>
      <c r="L31" s="53"/>
      <c r="M31" s="52"/>
      <c r="N31" s="53"/>
      <c r="O31" s="50"/>
      <c r="P31" s="49"/>
      <c r="Q31" s="48"/>
    </row>
    <row r="32" spans="1:17" ht="325.5" x14ac:dyDescent="0.35">
      <c r="A32" s="54"/>
      <c r="B32" s="2" t="s">
        <v>33</v>
      </c>
      <c r="C32" s="44" t="s">
        <v>33</v>
      </c>
      <c r="D32" s="2"/>
      <c r="E32" s="1" t="s">
        <v>34</v>
      </c>
      <c r="F32" s="44" t="s">
        <v>36</v>
      </c>
      <c r="G32" s="45"/>
      <c r="H32" s="46">
        <v>2</v>
      </c>
      <c r="I32" s="46">
        <v>1</v>
      </c>
      <c r="J32" s="47">
        <v>5</v>
      </c>
      <c r="K32" s="46"/>
      <c r="L32" s="47"/>
      <c r="M32" s="46"/>
      <c r="N32" s="57" t="s">
        <v>48</v>
      </c>
      <c r="O32" s="48"/>
      <c r="P32" s="49">
        <f>+P33+P34</f>
        <v>280914.01</v>
      </c>
      <c r="Q32" s="48"/>
    </row>
    <row r="33" spans="1:17" ht="139.5" x14ac:dyDescent="0.35">
      <c r="A33" s="54"/>
      <c r="B33" s="2"/>
      <c r="C33" s="44"/>
      <c r="D33" s="2"/>
      <c r="E33" s="1"/>
      <c r="F33" s="44"/>
      <c r="G33" s="45">
        <v>9995</v>
      </c>
      <c r="H33" s="52">
        <v>2</v>
      </c>
      <c r="I33" s="52">
        <v>1</v>
      </c>
      <c r="J33" s="53">
        <v>5</v>
      </c>
      <c r="K33" s="52">
        <v>1</v>
      </c>
      <c r="L33" s="53">
        <v>0</v>
      </c>
      <c r="M33" s="52">
        <v>1</v>
      </c>
      <c r="N33" s="58" t="s">
        <v>49</v>
      </c>
      <c r="O33" s="50"/>
      <c r="P33" s="51">
        <v>37476.660000000003</v>
      </c>
      <c r="Q33" s="50"/>
    </row>
    <row r="34" spans="1:17" ht="23.25" x14ac:dyDescent="0.35">
      <c r="A34" s="54"/>
      <c r="B34" s="45"/>
      <c r="C34" s="54"/>
      <c r="D34" s="45"/>
      <c r="E34" s="56"/>
      <c r="F34" s="54"/>
      <c r="G34" s="45">
        <v>9995</v>
      </c>
      <c r="H34" s="52">
        <v>2</v>
      </c>
      <c r="I34" s="52">
        <v>1</v>
      </c>
      <c r="J34" s="53">
        <v>5</v>
      </c>
      <c r="K34" s="52">
        <v>2</v>
      </c>
      <c r="L34" s="53">
        <v>0</v>
      </c>
      <c r="M34" s="52">
        <v>1</v>
      </c>
      <c r="N34" s="53" t="s">
        <v>50</v>
      </c>
      <c r="O34" s="50"/>
      <c r="P34" s="51">
        <v>243437.35</v>
      </c>
      <c r="Q34" s="50"/>
    </row>
    <row r="35" spans="1:17" ht="23.25" x14ac:dyDescent="0.35">
      <c r="A35" s="54"/>
      <c r="B35" s="45"/>
      <c r="C35" s="54"/>
      <c r="D35" s="45"/>
      <c r="E35" s="56"/>
      <c r="F35" s="54"/>
      <c r="G35" s="45"/>
      <c r="H35" s="52"/>
      <c r="I35" s="52"/>
      <c r="J35" s="53"/>
      <c r="K35" s="52"/>
      <c r="L35" s="53"/>
      <c r="M35" s="52"/>
      <c r="N35" s="53"/>
      <c r="O35" s="50"/>
      <c r="P35" s="51"/>
      <c r="Q35" s="50"/>
    </row>
    <row r="36" spans="1:17" ht="23.25" x14ac:dyDescent="0.35">
      <c r="A36" s="54"/>
      <c r="B36" s="2" t="s">
        <v>33</v>
      </c>
      <c r="C36" s="44" t="s">
        <v>33</v>
      </c>
      <c r="D36" s="2"/>
      <c r="E36" s="1" t="s">
        <v>34</v>
      </c>
      <c r="F36" s="44" t="s">
        <v>36</v>
      </c>
      <c r="G36" s="45"/>
      <c r="H36" s="46">
        <v>2</v>
      </c>
      <c r="I36" s="46">
        <v>2</v>
      </c>
      <c r="J36" s="47"/>
      <c r="K36" s="46"/>
      <c r="L36" s="47"/>
      <c r="M36" s="46"/>
      <c r="N36" s="47" t="s">
        <v>51</v>
      </c>
      <c r="O36" s="48">
        <f>+P36-Q36</f>
        <v>777463.66999999993</v>
      </c>
      <c r="P36" s="49">
        <f>+P38+P47+P51+P54+P58+P61+P66+P69</f>
        <v>1530360.73</v>
      </c>
      <c r="Q36" s="48">
        <f>+Q38+Q47+Q51+Q54+Q61+Q66+Q69</f>
        <v>752897.06</v>
      </c>
    </row>
    <row r="37" spans="1:17" ht="23.25" x14ac:dyDescent="0.35">
      <c r="A37" s="54"/>
      <c r="B37" s="45"/>
      <c r="C37" s="54"/>
      <c r="D37" s="45"/>
      <c r="E37" s="56"/>
      <c r="F37" s="54"/>
      <c r="G37" s="45"/>
      <c r="H37" s="46"/>
      <c r="I37" s="46"/>
      <c r="J37" s="47"/>
      <c r="K37" s="46"/>
      <c r="L37" s="47"/>
      <c r="M37" s="46"/>
      <c r="N37" s="47"/>
      <c r="O37" s="50"/>
      <c r="P37" s="51"/>
      <c r="Q37" s="50"/>
    </row>
    <row r="38" spans="1:17" ht="23.25" x14ac:dyDescent="0.35">
      <c r="A38" s="54"/>
      <c r="B38" s="2"/>
      <c r="C38" s="44"/>
      <c r="D38" s="2"/>
      <c r="E38" s="1"/>
      <c r="F38" s="44"/>
      <c r="G38" s="45"/>
      <c r="H38" s="46">
        <v>2</v>
      </c>
      <c r="I38" s="46">
        <v>2</v>
      </c>
      <c r="J38" s="47">
        <v>1</v>
      </c>
      <c r="K38" s="46"/>
      <c r="L38" s="47"/>
      <c r="M38" s="46"/>
      <c r="N38" s="47" t="s">
        <v>52</v>
      </c>
      <c r="O38" s="50"/>
      <c r="P38" s="49">
        <f>+P39+P40+P41+P42+P43+P44+P45</f>
        <v>440940.86</v>
      </c>
      <c r="Q38" s="48">
        <f>+Q40</f>
        <v>36580</v>
      </c>
    </row>
    <row r="39" spans="1:17" ht="23.25" x14ac:dyDescent="0.35">
      <c r="A39" s="54"/>
      <c r="B39" s="2"/>
      <c r="C39" s="44"/>
      <c r="D39" s="2"/>
      <c r="E39" s="1"/>
      <c r="F39" s="44"/>
      <c r="G39" s="45">
        <v>100</v>
      </c>
      <c r="H39" s="52">
        <v>2</v>
      </c>
      <c r="I39" s="52">
        <v>2</v>
      </c>
      <c r="J39" s="53">
        <v>1</v>
      </c>
      <c r="K39" s="52">
        <v>2</v>
      </c>
      <c r="L39" s="53">
        <v>0</v>
      </c>
      <c r="M39" s="52">
        <v>1</v>
      </c>
      <c r="N39" s="53" t="s">
        <v>53</v>
      </c>
      <c r="O39" s="50"/>
      <c r="P39" s="51">
        <v>889.75</v>
      </c>
      <c r="Q39" s="48"/>
    </row>
    <row r="40" spans="1:17" ht="23.25" x14ac:dyDescent="0.35">
      <c r="A40" s="54"/>
      <c r="B40" s="45"/>
      <c r="C40" s="54"/>
      <c r="D40" s="45"/>
      <c r="E40" s="56"/>
      <c r="F40" s="54"/>
      <c r="G40" s="45">
        <v>100</v>
      </c>
      <c r="H40" s="52">
        <v>2</v>
      </c>
      <c r="I40" s="52">
        <v>2</v>
      </c>
      <c r="J40" s="53">
        <v>1</v>
      </c>
      <c r="K40" s="52">
        <v>3</v>
      </c>
      <c r="L40" s="53">
        <v>0</v>
      </c>
      <c r="M40" s="52">
        <v>1</v>
      </c>
      <c r="N40" s="53" t="s">
        <v>54</v>
      </c>
      <c r="O40" s="50"/>
      <c r="P40" s="51">
        <f>80+13000+13000+10500+17631.14</f>
        <v>54211.14</v>
      </c>
      <c r="Q40" s="50">
        <f>80+13000+13000+10500</f>
        <v>36580</v>
      </c>
    </row>
    <row r="41" spans="1:17" ht="23.25" x14ac:dyDescent="0.35">
      <c r="A41" s="54"/>
      <c r="B41" s="45"/>
      <c r="C41" s="54"/>
      <c r="D41" s="45"/>
      <c r="E41" s="56"/>
      <c r="F41" s="54"/>
      <c r="G41" s="45">
        <v>100</v>
      </c>
      <c r="H41" s="52">
        <v>2</v>
      </c>
      <c r="I41" s="52">
        <v>2</v>
      </c>
      <c r="J41" s="53">
        <v>1</v>
      </c>
      <c r="K41" s="52">
        <v>4</v>
      </c>
      <c r="L41" s="53">
        <v>0</v>
      </c>
      <c r="M41" s="52">
        <v>1</v>
      </c>
      <c r="N41" s="53" t="s">
        <v>55</v>
      </c>
      <c r="O41" s="50"/>
      <c r="P41" s="51">
        <v>9625.91</v>
      </c>
      <c r="Q41" s="50"/>
    </row>
    <row r="42" spans="1:17" ht="23.25" x14ac:dyDescent="0.35">
      <c r="A42" s="54"/>
      <c r="B42" s="45"/>
      <c r="C42" s="54"/>
      <c r="D42" s="45"/>
      <c r="E42" s="56"/>
      <c r="F42" s="54"/>
      <c r="G42" s="45">
        <v>100</v>
      </c>
      <c r="H42" s="52">
        <v>2</v>
      </c>
      <c r="I42" s="52">
        <v>2</v>
      </c>
      <c r="J42" s="53">
        <v>1</v>
      </c>
      <c r="K42" s="52">
        <v>5</v>
      </c>
      <c r="L42" s="53">
        <v>0</v>
      </c>
      <c r="M42" s="52">
        <v>1</v>
      </c>
      <c r="N42" s="53" t="s">
        <v>56</v>
      </c>
      <c r="O42" s="50"/>
      <c r="P42" s="51">
        <v>14971.43</v>
      </c>
      <c r="Q42" s="50"/>
    </row>
    <row r="43" spans="1:17" ht="23.25" x14ac:dyDescent="0.35">
      <c r="A43" s="54"/>
      <c r="B43" s="45"/>
      <c r="C43" s="54"/>
      <c r="D43" s="45"/>
      <c r="E43" s="56"/>
      <c r="F43" s="54"/>
      <c r="G43" s="45"/>
      <c r="H43" s="52">
        <v>2</v>
      </c>
      <c r="I43" s="52">
        <v>2</v>
      </c>
      <c r="J43" s="53">
        <v>1</v>
      </c>
      <c r="K43" s="52">
        <v>6</v>
      </c>
      <c r="L43" s="53">
        <v>0</v>
      </c>
      <c r="M43" s="52">
        <v>1</v>
      </c>
      <c r="N43" s="53" t="s">
        <v>57</v>
      </c>
      <c r="O43" s="50"/>
      <c r="P43" s="51">
        <v>349194.63</v>
      </c>
      <c r="Q43" s="50"/>
    </row>
    <row r="44" spans="1:17" ht="23.25" x14ac:dyDescent="0.35">
      <c r="A44" s="54"/>
      <c r="B44" s="45"/>
      <c r="C44" s="54"/>
      <c r="D44" s="45"/>
      <c r="E44" s="56"/>
      <c r="F44" s="54"/>
      <c r="G44" s="45">
        <v>100</v>
      </c>
      <c r="H44" s="52">
        <v>2</v>
      </c>
      <c r="I44" s="52">
        <v>2</v>
      </c>
      <c r="J44" s="53">
        <v>1</v>
      </c>
      <c r="K44" s="52">
        <v>7</v>
      </c>
      <c r="L44" s="53">
        <v>0</v>
      </c>
      <c r="M44" s="52">
        <v>1</v>
      </c>
      <c r="N44" s="53" t="s">
        <v>58</v>
      </c>
      <c r="O44" s="50"/>
      <c r="P44" s="51">
        <v>8232</v>
      </c>
      <c r="Q44" s="50"/>
    </row>
    <row r="45" spans="1:17" ht="23.25" x14ac:dyDescent="0.35">
      <c r="A45" s="54"/>
      <c r="B45" s="45"/>
      <c r="C45" s="54"/>
      <c r="D45" s="45"/>
      <c r="E45" s="56"/>
      <c r="F45" s="54"/>
      <c r="G45" s="45">
        <v>100</v>
      </c>
      <c r="H45" s="52">
        <v>2</v>
      </c>
      <c r="I45" s="52">
        <v>2</v>
      </c>
      <c r="J45" s="53">
        <v>1</v>
      </c>
      <c r="K45" s="52">
        <v>8</v>
      </c>
      <c r="L45" s="53">
        <v>0</v>
      </c>
      <c r="M45" s="52">
        <v>1</v>
      </c>
      <c r="N45" s="53" t="s">
        <v>59</v>
      </c>
      <c r="O45" s="50"/>
      <c r="P45" s="51">
        <v>3816</v>
      </c>
      <c r="Q45" s="50"/>
    </row>
    <row r="46" spans="1:17" ht="23.25" x14ac:dyDescent="0.35">
      <c r="A46" s="54"/>
      <c r="B46" s="45"/>
      <c r="C46" s="54"/>
      <c r="D46" s="45"/>
      <c r="E46" s="56"/>
      <c r="F46" s="54"/>
      <c r="G46" s="45"/>
      <c r="H46" s="52"/>
      <c r="I46" s="52"/>
      <c r="J46" s="53"/>
      <c r="K46" s="52"/>
      <c r="L46" s="53"/>
      <c r="M46" s="52"/>
      <c r="N46" s="53"/>
      <c r="O46" s="50"/>
      <c r="P46" s="51"/>
      <c r="Q46" s="50"/>
    </row>
    <row r="47" spans="1:17" ht="23.25" x14ac:dyDescent="0.35">
      <c r="A47" s="54"/>
      <c r="B47" s="2" t="s">
        <v>33</v>
      </c>
      <c r="C47" s="44" t="s">
        <v>33</v>
      </c>
      <c r="D47" s="2"/>
      <c r="E47" s="1" t="s">
        <v>34</v>
      </c>
      <c r="F47" s="44" t="s">
        <v>36</v>
      </c>
      <c r="G47" s="45"/>
      <c r="H47" s="46">
        <v>2</v>
      </c>
      <c r="I47" s="46">
        <v>2</v>
      </c>
      <c r="J47" s="47">
        <v>2</v>
      </c>
      <c r="K47" s="46"/>
      <c r="L47" s="47"/>
      <c r="M47" s="46"/>
      <c r="N47" s="47" t="s">
        <v>60</v>
      </c>
      <c r="O47" s="50"/>
      <c r="P47" s="49">
        <f>+P48+P49</f>
        <v>88450.04</v>
      </c>
      <c r="Q47" s="48">
        <f>+Q48+Q49</f>
        <v>51153.19</v>
      </c>
    </row>
    <row r="48" spans="1:17" ht="23.25" x14ac:dyDescent="0.35">
      <c r="A48" s="54"/>
      <c r="B48" s="45"/>
      <c r="C48" s="54"/>
      <c r="D48" s="45"/>
      <c r="E48" s="56"/>
      <c r="F48" s="54"/>
      <c r="G48" s="45">
        <v>9995</v>
      </c>
      <c r="H48" s="52">
        <v>2</v>
      </c>
      <c r="I48" s="52">
        <v>2</v>
      </c>
      <c r="J48" s="53">
        <v>2</v>
      </c>
      <c r="K48" s="52">
        <v>1</v>
      </c>
      <c r="L48" s="53">
        <v>0</v>
      </c>
      <c r="M48" s="52">
        <v>1</v>
      </c>
      <c r="N48" s="53" t="s">
        <v>61</v>
      </c>
      <c r="O48" s="50"/>
      <c r="P48" s="51">
        <f>17169.19+37170+32545.26</f>
        <v>86884.45</v>
      </c>
      <c r="Q48" s="50">
        <f>17169.19+33894</f>
        <v>51063.19</v>
      </c>
    </row>
    <row r="49" spans="1:17" ht="23.25" x14ac:dyDescent="0.35">
      <c r="A49" s="54"/>
      <c r="B49" s="45"/>
      <c r="C49" s="54"/>
      <c r="D49" s="45"/>
      <c r="E49" s="56"/>
      <c r="F49" s="54"/>
      <c r="G49" s="45">
        <v>9995</v>
      </c>
      <c r="H49" s="52">
        <v>2</v>
      </c>
      <c r="I49" s="52">
        <v>2</v>
      </c>
      <c r="J49" s="53">
        <v>2</v>
      </c>
      <c r="K49" s="52">
        <v>2</v>
      </c>
      <c r="L49" s="53">
        <v>0</v>
      </c>
      <c r="M49" s="52">
        <v>1</v>
      </c>
      <c r="N49" s="53" t="s">
        <v>62</v>
      </c>
      <c r="O49" s="50"/>
      <c r="P49" s="51">
        <f>90+1475.59</f>
        <v>1565.59</v>
      </c>
      <c r="Q49" s="50">
        <v>90</v>
      </c>
    </row>
    <row r="50" spans="1:17" ht="23.25" x14ac:dyDescent="0.35">
      <c r="A50" s="54"/>
      <c r="B50" s="45"/>
      <c r="C50" s="54"/>
      <c r="D50" s="45"/>
      <c r="E50" s="56"/>
      <c r="F50" s="54"/>
      <c r="G50" s="45"/>
      <c r="H50" s="52"/>
      <c r="I50" s="52"/>
      <c r="J50" s="53"/>
      <c r="K50" s="52"/>
      <c r="L50" s="53"/>
      <c r="M50" s="52"/>
      <c r="N50" s="53"/>
      <c r="O50" s="50"/>
      <c r="P50" s="51"/>
      <c r="Q50" s="50"/>
    </row>
    <row r="51" spans="1:17" ht="23.25" x14ac:dyDescent="0.35">
      <c r="A51" s="54"/>
      <c r="B51" s="45"/>
      <c r="C51" s="54"/>
      <c r="D51" s="45"/>
      <c r="E51" s="56"/>
      <c r="F51" s="54"/>
      <c r="G51" s="45"/>
      <c r="H51" s="46">
        <v>2</v>
      </c>
      <c r="I51" s="46">
        <v>2</v>
      </c>
      <c r="J51" s="47">
        <v>3</v>
      </c>
      <c r="K51" s="52"/>
      <c r="L51" s="53"/>
      <c r="M51" s="52"/>
      <c r="N51" s="47" t="s">
        <v>63</v>
      </c>
      <c r="O51" s="50"/>
      <c r="P51" s="49">
        <f>+P52</f>
        <v>27175</v>
      </c>
      <c r="Q51" s="48">
        <f>+Q52</f>
        <v>27175</v>
      </c>
    </row>
    <row r="52" spans="1:17" ht="23.25" x14ac:dyDescent="0.35">
      <c r="A52" s="54"/>
      <c r="B52" s="45"/>
      <c r="C52" s="54"/>
      <c r="D52" s="45"/>
      <c r="E52" s="56"/>
      <c r="F52" s="54"/>
      <c r="G52" s="45">
        <v>9995</v>
      </c>
      <c r="H52" s="52">
        <v>2</v>
      </c>
      <c r="I52" s="52">
        <v>2</v>
      </c>
      <c r="J52" s="53">
        <v>3</v>
      </c>
      <c r="K52" s="52">
        <v>1</v>
      </c>
      <c r="L52" s="53">
        <v>0</v>
      </c>
      <c r="M52" s="52">
        <v>1</v>
      </c>
      <c r="N52" s="53" t="s">
        <v>64</v>
      </c>
      <c r="O52" s="50"/>
      <c r="P52" s="51">
        <f>3745+2825+2965+6430+5010+4800+1400</f>
        <v>27175</v>
      </c>
      <c r="Q52" s="50">
        <f>3745+2825+2965+6430+5010+4800+1400</f>
        <v>27175</v>
      </c>
    </row>
    <row r="53" spans="1:17" ht="23.25" x14ac:dyDescent="0.35">
      <c r="A53" s="54"/>
      <c r="B53" s="45"/>
      <c r="C53" s="54"/>
      <c r="D53" s="45"/>
      <c r="E53" s="56"/>
      <c r="F53" s="54"/>
      <c r="G53" s="45"/>
      <c r="H53" s="52"/>
      <c r="I53" s="52"/>
      <c r="J53" s="53"/>
      <c r="K53" s="52"/>
      <c r="L53" s="53"/>
      <c r="M53" s="52"/>
      <c r="N53" s="53"/>
      <c r="O53" s="50"/>
      <c r="P53" s="51"/>
      <c r="Q53" s="50"/>
    </row>
    <row r="54" spans="1:17" ht="23.25" x14ac:dyDescent="0.35">
      <c r="A54" s="54"/>
      <c r="B54" s="45"/>
      <c r="C54" s="54"/>
      <c r="D54" s="45"/>
      <c r="E54" s="56"/>
      <c r="F54" s="54"/>
      <c r="G54" s="45"/>
      <c r="H54" s="46">
        <v>2</v>
      </c>
      <c r="I54" s="46">
        <v>2</v>
      </c>
      <c r="J54" s="47">
        <v>4</v>
      </c>
      <c r="K54" s="52"/>
      <c r="L54" s="53"/>
      <c r="M54" s="52"/>
      <c r="N54" s="47" t="s">
        <v>65</v>
      </c>
      <c r="O54" s="50"/>
      <c r="P54" s="49">
        <f>+P55+P56</f>
        <v>8409.25</v>
      </c>
      <c r="Q54" s="48">
        <f>+Q55+Q56</f>
        <v>8409.25</v>
      </c>
    </row>
    <row r="55" spans="1:17" ht="23.25" x14ac:dyDescent="0.35">
      <c r="A55" s="54"/>
      <c r="B55" s="45"/>
      <c r="C55" s="54"/>
      <c r="D55" s="45"/>
      <c r="E55" s="56"/>
      <c r="F55" s="54"/>
      <c r="G55" s="45">
        <v>9995</v>
      </c>
      <c r="H55" s="52">
        <v>2</v>
      </c>
      <c r="I55" s="52">
        <v>2</v>
      </c>
      <c r="J55" s="53">
        <v>4</v>
      </c>
      <c r="K55" s="52">
        <v>3</v>
      </c>
      <c r="L55" s="53">
        <v>0</v>
      </c>
      <c r="M55" s="52">
        <v>1</v>
      </c>
      <c r="N55" s="53" t="s">
        <v>66</v>
      </c>
      <c r="O55" s="50"/>
      <c r="P55" s="51">
        <v>6669.25</v>
      </c>
      <c r="Q55" s="50">
        <v>6669.25</v>
      </c>
    </row>
    <row r="56" spans="1:17" ht="23.25" x14ac:dyDescent="0.35">
      <c r="A56" s="54"/>
      <c r="B56" s="45"/>
      <c r="C56" s="54"/>
      <c r="D56" s="45"/>
      <c r="E56" s="56"/>
      <c r="F56" s="54"/>
      <c r="G56" s="45">
        <v>9995</v>
      </c>
      <c r="H56" s="52">
        <v>2</v>
      </c>
      <c r="I56" s="52">
        <v>2</v>
      </c>
      <c r="J56" s="53">
        <v>4</v>
      </c>
      <c r="K56" s="52">
        <v>4</v>
      </c>
      <c r="L56" s="53">
        <v>0</v>
      </c>
      <c r="M56" s="52">
        <v>1</v>
      </c>
      <c r="N56" s="53" t="s">
        <v>67</v>
      </c>
      <c r="O56" s="50"/>
      <c r="P56" s="51">
        <f>750+750+180+60</f>
        <v>1740</v>
      </c>
      <c r="Q56" s="50">
        <f>750+750+180+60</f>
        <v>1740</v>
      </c>
    </row>
    <row r="57" spans="1:17" ht="23.25" x14ac:dyDescent="0.35">
      <c r="A57" s="54"/>
      <c r="B57" s="45"/>
      <c r="C57" s="54"/>
      <c r="D57" s="45"/>
      <c r="E57" s="56"/>
      <c r="F57" s="54"/>
      <c r="G57" s="45"/>
      <c r="H57" s="52"/>
      <c r="I57" s="52"/>
      <c r="J57" s="53"/>
      <c r="K57" s="52"/>
      <c r="L57" s="53"/>
      <c r="M57" s="52"/>
      <c r="N57" s="53"/>
      <c r="O57" s="50"/>
      <c r="P57" s="51"/>
      <c r="Q57" s="50"/>
    </row>
    <row r="58" spans="1:17" ht="23.25" x14ac:dyDescent="0.35">
      <c r="A58" s="54"/>
      <c r="B58" s="45"/>
      <c r="C58" s="54"/>
      <c r="D58" s="45"/>
      <c r="E58" s="56"/>
      <c r="F58" s="54"/>
      <c r="G58" s="45"/>
      <c r="H58" s="46">
        <v>2</v>
      </c>
      <c r="I58" s="46">
        <v>2</v>
      </c>
      <c r="J58" s="47">
        <v>5</v>
      </c>
      <c r="K58" s="46"/>
      <c r="L58" s="53"/>
      <c r="M58" s="52"/>
      <c r="N58" s="47" t="s">
        <v>68</v>
      </c>
      <c r="O58" s="50"/>
      <c r="P58" s="49">
        <f>+P59</f>
        <v>13000</v>
      </c>
      <c r="Q58" s="48"/>
    </row>
    <row r="59" spans="1:17" ht="23.25" x14ac:dyDescent="0.35">
      <c r="A59" s="54"/>
      <c r="B59" s="45"/>
      <c r="C59" s="54"/>
      <c r="D59" s="45"/>
      <c r="E59" s="56"/>
      <c r="F59" s="54"/>
      <c r="G59" s="45">
        <v>9995</v>
      </c>
      <c r="H59" s="52">
        <v>2</v>
      </c>
      <c r="I59" s="52">
        <v>2</v>
      </c>
      <c r="J59" s="53">
        <v>5</v>
      </c>
      <c r="K59" s="52">
        <v>1</v>
      </c>
      <c r="L59" s="53">
        <v>0</v>
      </c>
      <c r="M59" s="52">
        <v>1</v>
      </c>
      <c r="N59" s="53" t="s">
        <v>69</v>
      </c>
      <c r="O59" s="50"/>
      <c r="P59" s="51">
        <v>13000</v>
      </c>
      <c r="Q59" s="50"/>
    </row>
    <row r="60" spans="1:17" ht="23.25" x14ac:dyDescent="0.35">
      <c r="A60" s="54"/>
      <c r="B60" s="45"/>
      <c r="C60" s="54"/>
      <c r="D60" s="45"/>
      <c r="E60" s="56"/>
      <c r="F60" s="54"/>
      <c r="G60" s="45"/>
      <c r="H60" s="52"/>
      <c r="I60" s="52"/>
      <c r="J60" s="53"/>
      <c r="K60" s="52"/>
      <c r="L60" s="53"/>
      <c r="M60" s="52"/>
      <c r="N60" s="53"/>
      <c r="O60" s="50"/>
      <c r="P60" s="51"/>
      <c r="Q60" s="50"/>
    </row>
    <row r="61" spans="1:17" ht="23.25" x14ac:dyDescent="0.35">
      <c r="A61" s="54"/>
      <c r="B61" s="2" t="s">
        <v>33</v>
      </c>
      <c r="C61" s="44" t="s">
        <v>33</v>
      </c>
      <c r="D61" s="2"/>
      <c r="E61" s="1" t="s">
        <v>34</v>
      </c>
      <c r="F61" s="44" t="s">
        <v>36</v>
      </c>
      <c r="G61" s="45"/>
      <c r="H61" s="46">
        <v>2</v>
      </c>
      <c r="I61" s="46">
        <v>2</v>
      </c>
      <c r="J61" s="47">
        <v>6</v>
      </c>
      <c r="K61" s="46"/>
      <c r="L61" s="47"/>
      <c r="M61" s="46"/>
      <c r="N61" s="47" t="s">
        <v>70</v>
      </c>
      <c r="O61" s="50"/>
      <c r="P61" s="49">
        <f>+P62+P63+P64</f>
        <v>518088.49</v>
      </c>
      <c r="Q61" s="48">
        <f>+Q62+Q63+Q64</f>
        <v>270136.62</v>
      </c>
    </row>
    <row r="62" spans="1:17" ht="23.25" x14ac:dyDescent="0.35">
      <c r="A62" s="54"/>
      <c r="B62" s="2"/>
      <c r="C62" s="44"/>
      <c r="D62" s="2"/>
      <c r="E62" s="1"/>
      <c r="F62" s="44"/>
      <c r="G62" s="45">
        <v>9995</v>
      </c>
      <c r="H62" s="52">
        <v>2</v>
      </c>
      <c r="I62" s="52">
        <v>2</v>
      </c>
      <c r="J62" s="53">
        <v>6</v>
      </c>
      <c r="K62" s="52">
        <v>1</v>
      </c>
      <c r="L62" s="53">
        <v>0</v>
      </c>
      <c r="M62" s="52">
        <v>1</v>
      </c>
      <c r="N62" s="53" t="s">
        <v>71</v>
      </c>
      <c r="O62" s="50"/>
      <c r="P62" s="51">
        <v>4770.2299999999996</v>
      </c>
      <c r="Q62" s="50">
        <v>4770.2299999999996</v>
      </c>
    </row>
    <row r="63" spans="1:17" ht="23.25" x14ac:dyDescent="0.35">
      <c r="A63" s="54"/>
      <c r="B63" s="2"/>
      <c r="C63" s="44"/>
      <c r="D63" s="2"/>
      <c r="E63" s="1"/>
      <c r="F63" s="44"/>
      <c r="G63" s="45">
        <v>9995</v>
      </c>
      <c r="H63" s="52">
        <v>2</v>
      </c>
      <c r="I63" s="52">
        <v>2</v>
      </c>
      <c r="J63" s="53">
        <v>6</v>
      </c>
      <c r="K63" s="52">
        <v>2</v>
      </c>
      <c r="L63" s="53">
        <v>0</v>
      </c>
      <c r="M63" s="52">
        <v>1</v>
      </c>
      <c r="N63" s="53" t="s">
        <v>72</v>
      </c>
      <c r="O63" s="50"/>
      <c r="P63" s="51">
        <f>30954.9+214335.71</f>
        <v>245290.61</v>
      </c>
      <c r="Q63" s="50">
        <f>30954.9+205097.1</f>
        <v>236052</v>
      </c>
    </row>
    <row r="64" spans="1:17" ht="23.25" x14ac:dyDescent="0.35">
      <c r="A64" s="54"/>
      <c r="B64" s="45"/>
      <c r="C64" s="54"/>
      <c r="D64" s="45"/>
      <c r="E64" s="56"/>
      <c r="F64" s="54"/>
      <c r="G64" s="45">
        <v>100</v>
      </c>
      <c r="H64" s="52">
        <v>2</v>
      </c>
      <c r="I64" s="52">
        <v>2</v>
      </c>
      <c r="J64" s="53">
        <v>6</v>
      </c>
      <c r="K64" s="52">
        <v>3</v>
      </c>
      <c r="L64" s="53">
        <v>0</v>
      </c>
      <c r="M64" s="52">
        <v>1</v>
      </c>
      <c r="N64" s="53" t="s">
        <v>73</v>
      </c>
      <c r="O64" s="50"/>
      <c r="P64" s="51">
        <f>6889.92+2682.02+10622.43+10159.1+237674.18</f>
        <v>268027.65000000002</v>
      </c>
      <c r="Q64" s="50">
        <f>6889.92+2682.02+10091.31+9651.14</f>
        <v>29314.39</v>
      </c>
    </row>
    <row r="65" spans="1:17" ht="23.25" x14ac:dyDescent="0.35">
      <c r="A65" s="54"/>
      <c r="B65" s="45"/>
      <c r="C65" s="54"/>
      <c r="D65" s="45"/>
      <c r="E65" s="56"/>
      <c r="F65" s="54"/>
      <c r="G65" s="45"/>
      <c r="H65" s="52"/>
      <c r="I65" s="52"/>
      <c r="J65" s="53"/>
      <c r="K65" s="52"/>
      <c r="L65" s="53"/>
      <c r="M65" s="52"/>
      <c r="N65" s="53"/>
      <c r="O65" s="50"/>
      <c r="P65" s="51"/>
      <c r="Q65" s="50"/>
    </row>
    <row r="66" spans="1:17" ht="23.25" x14ac:dyDescent="0.35">
      <c r="A66" s="54"/>
      <c r="B66" s="45"/>
      <c r="C66" s="54"/>
      <c r="D66" s="45"/>
      <c r="E66" s="56"/>
      <c r="F66" s="54"/>
      <c r="G66" s="45"/>
      <c r="H66" s="46">
        <v>2</v>
      </c>
      <c r="I66" s="46">
        <v>2</v>
      </c>
      <c r="J66" s="47">
        <v>7</v>
      </c>
      <c r="K66" s="46"/>
      <c r="L66" s="53"/>
      <c r="M66" s="52"/>
      <c r="N66" s="59" t="s">
        <v>74</v>
      </c>
      <c r="O66" s="50"/>
      <c r="P66" s="49">
        <f>+P67</f>
        <v>42000</v>
      </c>
      <c r="Q66" s="48">
        <f>+Q67</f>
        <v>38298.31</v>
      </c>
    </row>
    <row r="67" spans="1:17" ht="23.25" x14ac:dyDescent="0.35">
      <c r="A67" s="54"/>
      <c r="B67" s="45"/>
      <c r="C67" s="54"/>
      <c r="D67" s="45"/>
      <c r="E67" s="56"/>
      <c r="F67" s="54"/>
      <c r="G67" s="45">
        <v>9995</v>
      </c>
      <c r="H67" s="52">
        <v>2</v>
      </c>
      <c r="I67" s="52">
        <v>2</v>
      </c>
      <c r="J67" s="53">
        <v>7</v>
      </c>
      <c r="K67" s="52">
        <v>2</v>
      </c>
      <c r="L67" s="53">
        <v>0</v>
      </c>
      <c r="M67" s="52">
        <v>1</v>
      </c>
      <c r="N67" s="53" t="s">
        <v>75</v>
      </c>
      <c r="O67" s="50"/>
      <c r="P67" s="51">
        <v>42000</v>
      </c>
      <c r="Q67" s="50">
        <v>38298.31</v>
      </c>
    </row>
    <row r="68" spans="1:17" ht="23.25" x14ac:dyDescent="0.35">
      <c r="A68" s="54"/>
      <c r="B68" s="45"/>
      <c r="C68" s="54"/>
      <c r="D68" s="45"/>
      <c r="E68" s="56"/>
      <c r="F68" s="54"/>
      <c r="G68" s="45"/>
      <c r="H68" s="52"/>
      <c r="I68" s="52"/>
      <c r="J68" s="53"/>
      <c r="K68" s="52"/>
      <c r="L68" s="53"/>
      <c r="M68" s="52"/>
      <c r="N68" s="53"/>
      <c r="O68" s="50"/>
      <c r="P68" s="51"/>
      <c r="Q68" s="50"/>
    </row>
    <row r="69" spans="1:17" ht="186" x14ac:dyDescent="0.35">
      <c r="A69" s="54"/>
      <c r="B69" s="2"/>
      <c r="C69" s="44"/>
      <c r="D69" s="2"/>
      <c r="E69" s="1"/>
      <c r="F69" s="44"/>
      <c r="G69" s="45"/>
      <c r="H69" s="46">
        <v>2</v>
      </c>
      <c r="I69" s="46">
        <v>2</v>
      </c>
      <c r="J69" s="47">
        <v>8</v>
      </c>
      <c r="K69" s="46"/>
      <c r="L69" s="47"/>
      <c r="M69" s="46"/>
      <c r="N69" s="57" t="s">
        <v>76</v>
      </c>
      <c r="O69" s="50"/>
      <c r="P69" s="49">
        <f>+P70+P71+P72+P73+P74</f>
        <v>392297.08999999997</v>
      </c>
      <c r="Q69" s="48">
        <f>+Q70+Q71+Q72+Q73+Q74</f>
        <v>321144.69</v>
      </c>
    </row>
    <row r="70" spans="1:17" ht="162.75" x14ac:dyDescent="0.35">
      <c r="A70" s="54"/>
      <c r="B70" s="2"/>
      <c r="C70" s="44"/>
      <c r="D70" s="2"/>
      <c r="E70" s="1"/>
      <c r="F70" s="44"/>
      <c r="G70" s="45">
        <v>9995</v>
      </c>
      <c r="H70" s="52">
        <v>2</v>
      </c>
      <c r="I70" s="52">
        <v>2</v>
      </c>
      <c r="J70" s="53">
        <v>8</v>
      </c>
      <c r="K70" s="52">
        <v>2</v>
      </c>
      <c r="L70" s="53">
        <v>0</v>
      </c>
      <c r="M70" s="52">
        <v>1</v>
      </c>
      <c r="N70" s="58" t="s">
        <v>77</v>
      </c>
      <c r="O70" s="50"/>
      <c r="P70" s="51">
        <v>7304.62</v>
      </c>
      <c r="Q70" s="50">
        <v>7304.62</v>
      </c>
    </row>
    <row r="71" spans="1:17" ht="186" x14ac:dyDescent="0.35">
      <c r="A71" s="54"/>
      <c r="B71" s="2"/>
      <c r="C71" s="44"/>
      <c r="D71" s="2"/>
      <c r="E71" s="1"/>
      <c r="F71" s="44"/>
      <c r="G71" s="45">
        <v>9995</v>
      </c>
      <c r="H71" s="52">
        <v>2</v>
      </c>
      <c r="I71" s="52">
        <v>2</v>
      </c>
      <c r="J71" s="53">
        <v>8</v>
      </c>
      <c r="K71" s="52">
        <v>4</v>
      </c>
      <c r="L71" s="53">
        <v>0</v>
      </c>
      <c r="M71" s="52">
        <v>1</v>
      </c>
      <c r="N71" s="58" t="s">
        <v>78</v>
      </c>
      <c r="O71" s="50"/>
      <c r="P71" s="51">
        <v>7950</v>
      </c>
      <c r="Q71" s="50">
        <v>7950</v>
      </c>
    </row>
    <row r="72" spans="1:17" ht="232.5" x14ac:dyDescent="0.35">
      <c r="A72" s="54"/>
      <c r="B72" s="2"/>
      <c r="C72" s="44"/>
      <c r="D72" s="2"/>
      <c r="E72" s="1"/>
      <c r="F72" s="44"/>
      <c r="G72" s="45">
        <v>9995</v>
      </c>
      <c r="H72" s="52">
        <v>2</v>
      </c>
      <c r="I72" s="52">
        <v>2</v>
      </c>
      <c r="J72" s="53">
        <v>8</v>
      </c>
      <c r="K72" s="52">
        <v>7</v>
      </c>
      <c r="L72" s="53">
        <v>0</v>
      </c>
      <c r="M72" s="52">
        <v>1</v>
      </c>
      <c r="N72" s="58" t="s">
        <v>79</v>
      </c>
      <c r="O72" s="50"/>
      <c r="P72" s="51">
        <f>45000+45000+45000+45000</f>
        <v>180000</v>
      </c>
      <c r="Q72" s="50">
        <f>40500+40500+40500+40500</f>
        <v>162000</v>
      </c>
    </row>
    <row r="73" spans="1:17" ht="93" x14ac:dyDescent="0.35">
      <c r="A73" s="54"/>
      <c r="B73" s="2"/>
      <c r="C73" s="44"/>
      <c r="D73" s="2"/>
      <c r="E73" s="1"/>
      <c r="F73" s="44"/>
      <c r="G73" s="45">
        <v>9995</v>
      </c>
      <c r="H73" s="52">
        <v>2</v>
      </c>
      <c r="I73" s="52">
        <v>2</v>
      </c>
      <c r="J73" s="53">
        <v>8</v>
      </c>
      <c r="K73" s="52">
        <v>7</v>
      </c>
      <c r="L73" s="53">
        <v>0</v>
      </c>
      <c r="M73" s="52">
        <v>2</v>
      </c>
      <c r="N73" s="58" t="s">
        <v>80</v>
      </c>
      <c r="O73" s="50"/>
      <c r="P73" s="51">
        <v>1500</v>
      </c>
      <c r="Q73" s="50">
        <v>1144.07</v>
      </c>
    </row>
    <row r="74" spans="1:17" ht="186" x14ac:dyDescent="0.35">
      <c r="A74" s="54"/>
      <c r="B74" s="2"/>
      <c r="C74" s="44"/>
      <c r="D74" s="2"/>
      <c r="E74" s="1"/>
      <c r="F74" s="44"/>
      <c r="G74" s="45">
        <v>9995</v>
      </c>
      <c r="H74" s="52">
        <v>2</v>
      </c>
      <c r="I74" s="52">
        <v>2</v>
      </c>
      <c r="J74" s="53">
        <v>8</v>
      </c>
      <c r="K74" s="52">
        <v>7</v>
      </c>
      <c r="L74" s="53">
        <v>0</v>
      </c>
      <c r="M74" s="52">
        <v>6</v>
      </c>
      <c r="N74" s="58" t="s">
        <v>81</v>
      </c>
      <c r="O74" s="50"/>
      <c r="P74" s="51">
        <f>97103.84+98438.63</f>
        <v>195542.47</v>
      </c>
      <c r="Q74" s="50">
        <f>70885.8+71860.2</f>
        <v>142746</v>
      </c>
    </row>
    <row r="75" spans="1:17" ht="23.25" x14ac:dyDescent="0.35">
      <c r="A75" s="54"/>
      <c r="B75" s="45"/>
      <c r="C75" s="54"/>
      <c r="D75" s="45"/>
      <c r="E75" s="56"/>
      <c r="F75" s="54"/>
      <c r="G75" s="45"/>
      <c r="H75" s="52"/>
      <c r="I75" s="52"/>
      <c r="J75" s="53"/>
      <c r="K75" s="52"/>
      <c r="L75" s="53"/>
      <c r="M75" s="52"/>
      <c r="N75" s="58"/>
      <c r="O75" s="50"/>
      <c r="P75" s="51"/>
      <c r="Q75" s="50"/>
    </row>
    <row r="76" spans="1:17" ht="23.25" x14ac:dyDescent="0.35">
      <c r="A76" s="54"/>
      <c r="B76" s="2" t="s">
        <v>33</v>
      </c>
      <c r="C76" s="44" t="s">
        <v>33</v>
      </c>
      <c r="D76" s="2"/>
      <c r="E76" s="1" t="s">
        <v>34</v>
      </c>
      <c r="F76" s="44" t="s">
        <v>36</v>
      </c>
      <c r="G76" s="45"/>
      <c r="H76" s="46">
        <v>2</v>
      </c>
      <c r="I76" s="46">
        <v>3</v>
      </c>
      <c r="J76" s="47"/>
      <c r="K76" s="46"/>
      <c r="L76" s="47"/>
      <c r="M76" s="46"/>
      <c r="N76" s="47" t="s">
        <v>82</v>
      </c>
      <c r="O76" s="48">
        <f>+P76-Q76</f>
        <v>938712.19</v>
      </c>
      <c r="P76" s="49">
        <f>+P78+P83+P88+P92+P102+P108+P118+P122</f>
        <v>1053623.92</v>
      </c>
      <c r="Q76" s="48">
        <f>+Q78+Q83+Q88+Q92+Q102+Q108+Q118+Q122</f>
        <v>114911.73000000001</v>
      </c>
    </row>
    <row r="77" spans="1:17" ht="23.25" x14ac:dyDescent="0.35">
      <c r="A77" s="54"/>
      <c r="B77" s="45"/>
      <c r="C77" s="54"/>
      <c r="D77" s="45"/>
      <c r="E77" s="56"/>
      <c r="F77" s="54"/>
      <c r="G77" s="45"/>
      <c r="H77" s="46"/>
      <c r="I77" s="46"/>
      <c r="J77" s="47"/>
      <c r="K77" s="46"/>
      <c r="L77" s="47"/>
      <c r="M77" s="46"/>
      <c r="N77" s="47"/>
      <c r="O77" s="50"/>
      <c r="P77" s="51"/>
      <c r="Q77" s="50"/>
    </row>
    <row r="78" spans="1:17" ht="23.25" x14ac:dyDescent="0.35">
      <c r="A78" s="54"/>
      <c r="B78" s="2"/>
      <c r="C78" s="44"/>
      <c r="D78" s="2"/>
      <c r="E78" s="1"/>
      <c r="F78" s="44"/>
      <c r="G78" s="45"/>
      <c r="H78" s="46">
        <v>2</v>
      </c>
      <c r="I78" s="46">
        <v>3</v>
      </c>
      <c r="J78" s="47">
        <v>1</v>
      </c>
      <c r="K78" s="46"/>
      <c r="L78" s="47"/>
      <c r="M78" s="46"/>
      <c r="N78" s="47" t="s">
        <v>83</v>
      </c>
      <c r="O78" s="50"/>
      <c r="P78" s="49">
        <f>+P79+P80+P81</f>
        <v>365741.33999999997</v>
      </c>
      <c r="Q78" s="48">
        <f>+Q81</f>
        <v>1578.96</v>
      </c>
    </row>
    <row r="79" spans="1:17" ht="23.25" x14ac:dyDescent="0.35">
      <c r="A79" s="54"/>
      <c r="B79" s="45"/>
      <c r="C79" s="54"/>
      <c r="D79" s="45"/>
      <c r="E79" s="56"/>
      <c r="F79" s="54"/>
      <c r="G79" s="45">
        <v>9995</v>
      </c>
      <c r="H79" s="52">
        <v>2</v>
      </c>
      <c r="I79" s="52">
        <v>3</v>
      </c>
      <c r="J79" s="53">
        <v>1</v>
      </c>
      <c r="K79" s="52">
        <v>1</v>
      </c>
      <c r="L79" s="53">
        <v>0</v>
      </c>
      <c r="M79" s="52">
        <v>1</v>
      </c>
      <c r="N79" s="53" t="s">
        <v>84</v>
      </c>
      <c r="O79" s="50"/>
      <c r="P79" s="51">
        <f>325283.1+1079.82+10049.73</f>
        <v>336412.64999999997</v>
      </c>
      <c r="Q79" s="50"/>
    </row>
    <row r="80" spans="1:17" ht="23.25" x14ac:dyDescent="0.35">
      <c r="A80" s="54"/>
      <c r="B80" s="45"/>
      <c r="C80" s="54"/>
      <c r="D80" s="45"/>
      <c r="E80" s="56"/>
      <c r="F80" s="54"/>
      <c r="G80" s="45">
        <v>9995</v>
      </c>
      <c r="H80" s="52">
        <v>2</v>
      </c>
      <c r="I80" s="52">
        <v>3</v>
      </c>
      <c r="J80" s="53">
        <v>1</v>
      </c>
      <c r="K80" s="52">
        <v>3</v>
      </c>
      <c r="L80" s="53">
        <v>0</v>
      </c>
      <c r="M80" s="52">
        <v>1</v>
      </c>
      <c r="N80" s="53" t="s">
        <v>85</v>
      </c>
      <c r="O80" s="50"/>
      <c r="P80" s="51">
        <f>17700+10049.73</f>
        <v>27749.73</v>
      </c>
      <c r="Q80" s="50"/>
    </row>
    <row r="81" spans="1:17" ht="23.25" x14ac:dyDescent="0.35">
      <c r="A81" s="54"/>
      <c r="B81" s="45"/>
      <c r="C81" s="54"/>
      <c r="D81" s="45"/>
      <c r="E81" s="56"/>
      <c r="F81" s="54"/>
      <c r="G81" s="45">
        <v>9995</v>
      </c>
      <c r="H81" s="52">
        <v>2</v>
      </c>
      <c r="I81" s="52">
        <v>3</v>
      </c>
      <c r="J81" s="53">
        <v>1</v>
      </c>
      <c r="K81" s="52">
        <v>4</v>
      </c>
      <c r="L81" s="53">
        <v>0</v>
      </c>
      <c r="M81" s="52">
        <v>1</v>
      </c>
      <c r="N81" s="53" t="s">
        <v>86</v>
      </c>
      <c r="O81" s="50"/>
      <c r="P81" s="51">
        <v>1578.96</v>
      </c>
      <c r="Q81" s="50">
        <v>1578.96</v>
      </c>
    </row>
    <row r="82" spans="1:17" ht="23.25" x14ac:dyDescent="0.35">
      <c r="A82" s="54"/>
      <c r="B82" s="45"/>
      <c r="C82" s="54"/>
      <c r="D82" s="45"/>
      <c r="E82" s="56"/>
      <c r="F82" s="54"/>
      <c r="G82" s="45"/>
      <c r="H82" s="52"/>
      <c r="I82" s="52"/>
      <c r="J82" s="53"/>
      <c r="K82" s="52"/>
      <c r="L82" s="53"/>
      <c r="M82" s="52"/>
      <c r="N82" s="53"/>
      <c r="O82" s="50"/>
      <c r="P82" s="51"/>
      <c r="Q82" s="50"/>
    </row>
    <row r="83" spans="1:17" ht="23.25" x14ac:dyDescent="0.35">
      <c r="A83" s="54"/>
      <c r="B83" s="45"/>
      <c r="C83" s="54"/>
      <c r="D83" s="45"/>
      <c r="E83" s="56"/>
      <c r="F83" s="54"/>
      <c r="G83" s="45"/>
      <c r="H83" s="46">
        <v>2</v>
      </c>
      <c r="I83" s="46">
        <v>3</v>
      </c>
      <c r="J83" s="47">
        <v>2</v>
      </c>
      <c r="K83" s="46"/>
      <c r="L83" s="53"/>
      <c r="M83" s="52"/>
      <c r="N83" s="47" t="s">
        <v>87</v>
      </c>
      <c r="O83" s="50"/>
      <c r="P83" s="49">
        <f>+P84+P85+P86</f>
        <v>17657.150000000001</v>
      </c>
      <c r="Q83" s="48">
        <f>+Q84+Q85+Q86</f>
        <v>16782.150000000001</v>
      </c>
    </row>
    <row r="84" spans="1:17" ht="23.25" x14ac:dyDescent="0.35">
      <c r="A84" s="54"/>
      <c r="B84" s="45"/>
      <c r="C84" s="54"/>
      <c r="D84" s="45"/>
      <c r="E84" s="56"/>
      <c r="F84" s="54"/>
      <c r="G84" s="45">
        <v>9995</v>
      </c>
      <c r="H84" s="52">
        <v>2</v>
      </c>
      <c r="I84" s="52">
        <v>3</v>
      </c>
      <c r="J84" s="53">
        <v>2</v>
      </c>
      <c r="K84" s="52">
        <v>1</v>
      </c>
      <c r="L84" s="53">
        <v>0</v>
      </c>
      <c r="M84" s="52">
        <v>1</v>
      </c>
      <c r="N84" s="53" t="s">
        <v>88</v>
      </c>
      <c r="O84" s="50"/>
      <c r="P84" s="51">
        <v>3150.07</v>
      </c>
      <c r="Q84" s="50">
        <v>3150.07</v>
      </c>
    </row>
    <row r="85" spans="1:17" ht="23.25" x14ac:dyDescent="0.35">
      <c r="A85" s="54"/>
      <c r="B85" s="45"/>
      <c r="C85" s="54"/>
      <c r="D85" s="45"/>
      <c r="E85" s="56"/>
      <c r="F85" s="54"/>
      <c r="G85" s="45">
        <v>9995</v>
      </c>
      <c r="H85" s="52">
        <v>2</v>
      </c>
      <c r="I85" s="52">
        <v>3</v>
      </c>
      <c r="J85" s="53">
        <v>2</v>
      </c>
      <c r="K85" s="52">
        <v>2</v>
      </c>
      <c r="L85" s="53">
        <v>0</v>
      </c>
      <c r="M85" s="52">
        <v>1</v>
      </c>
      <c r="N85" s="53" t="s">
        <v>89</v>
      </c>
      <c r="O85" s="50"/>
      <c r="P85" s="51">
        <f>20650-8207.92</f>
        <v>12442.08</v>
      </c>
      <c r="Q85" s="50">
        <f>19775-8207.92</f>
        <v>11567.08</v>
      </c>
    </row>
    <row r="86" spans="1:17" ht="23.25" x14ac:dyDescent="0.35">
      <c r="A86" s="54"/>
      <c r="B86" s="45"/>
      <c r="C86" s="54"/>
      <c r="D86" s="45"/>
      <c r="E86" s="56"/>
      <c r="F86" s="54"/>
      <c r="G86" s="45">
        <v>9995</v>
      </c>
      <c r="H86" s="52">
        <v>2</v>
      </c>
      <c r="I86" s="52">
        <v>3</v>
      </c>
      <c r="J86" s="53">
        <v>2</v>
      </c>
      <c r="K86" s="52">
        <v>3</v>
      </c>
      <c r="L86" s="53">
        <v>0</v>
      </c>
      <c r="M86" s="52">
        <v>1</v>
      </c>
      <c r="N86" s="53" t="s">
        <v>90</v>
      </c>
      <c r="O86" s="50"/>
      <c r="P86" s="51">
        <v>2065</v>
      </c>
      <c r="Q86" s="50">
        <v>2065</v>
      </c>
    </row>
    <row r="87" spans="1:17" ht="23.25" x14ac:dyDescent="0.35">
      <c r="A87" s="54"/>
      <c r="B87" s="45"/>
      <c r="C87" s="54"/>
      <c r="D87" s="45"/>
      <c r="E87" s="56"/>
      <c r="F87" s="54"/>
      <c r="G87" s="45"/>
      <c r="H87" s="52"/>
      <c r="I87" s="52"/>
      <c r="J87" s="53"/>
      <c r="K87" s="52"/>
      <c r="L87" s="53"/>
      <c r="M87" s="52"/>
      <c r="N87" s="53"/>
      <c r="O87" s="50"/>
      <c r="P87" s="51"/>
      <c r="Q87" s="50"/>
    </row>
    <row r="88" spans="1:17" ht="23.25" x14ac:dyDescent="0.35">
      <c r="A88" s="54"/>
      <c r="B88" s="45"/>
      <c r="C88" s="54"/>
      <c r="D88" s="45"/>
      <c r="E88" s="56"/>
      <c r="F88" s="54"/>
      <c r="G88" s="45"/>
      <c r="H88" s="46">
        <v>2</v>
      </c>
      <c r="I88" s="46">
        <v>3</v>
      </c>
      <c r="J88" s="47">
        <v>3</v>
      </c>
      <c r="K88" s="52"/>
      <c r="L88" s="53"/>
      <c r="M88" s="52"/>
      <c r="N88" s="47" t="s">
        <v>91</v>
      </c>
      <c r="O88" s="50"/>
      <c r="P88" s="49">
        <f>+P89+P90</f>
        <v>10491.69</v>
      </c>
      <c r="Q88" s="48">
        <f>+Q89+Q90</f>
        <v>1076.27</v>
      </c>
    </row>
    <row r="89" spans="1:17" ht="23.25" x14ac:dyDescent="0.35">
      <c r="A89" s="54"/>
      <c r="B89" s="45"/>
      <c r="C89" s="54"/>
      <c r="D89" s="45"/>
      <c r="E89" s="56"/>
      <c r="F89" s="54"/>
      <c r="G89" s="45">
        <v>9995</v>
      </c>
      <c r="H89" s="52">
        <v>2</v>
      </c>
      <c r="I89" s="52">
        <v>3</v>
      </c>
      <c r="J89" s="53">
        <v>3</v>
      </c>
      <c r="K89" s="52">
        <v>2</v>
      </c>
      <c r="L89" s="53">
        <v>0</v>
      </c>
      <c r="M89" s="52">
        <v>1</v>
      </c>
      <c r="N89" s="53" t="s">
        <v>92</v>
      </c>
      <c r="O89" s="50"/>
      <c r="P89" s="51">
        <f>459.6+4735.2+4680.22</f>
        <v>9875.02</v>
      </c>
      <c r="Q89" s="50">
        <v>459.6</v>
      </c>
    </row>
    <row r="90" spans="1:17" ht="23.25" x14ac:dyDescent="0.35">
      <c r="A90" s="54"/>
      <c r="B90" s="45"/>
      <c r="C90" s="54"/>
      <c r="D90" s="45"/>
      <c r="E90" s="56"/>
      <c r="F90" s="54"/>
      <c r="G90" s="45">
        <v>9995</v>
      </c>
      <c r="H90" s="52">
        <v>2</v>
      </c>
      <c r="I90" s="52">
        <v>3</v>
      </c>
      <c r="J90" s="53">
        <v>3</v>
      </c>
      <c r="K90" s="52">
        <v>4</v>
      </c>
      <c r="L90" s="53">
        <v>0</v>
      </c>
      <c r="M90" s="52">
        <v>1</v>
      </c>
      <c r="N90" s="53" t="s">
        <v>93</v>
      </c>
      <c r="O90" s="50"/>
      <c r="P90" s="51">
        <v>616.66999999999996</v>
      </c>
      <c r="Q90" s="50">
        <v>616.66999999999996</v>
      </c>
    </row>
    <row r="91" spans="1:17" ht="23.25" x14ac:dyDescent="0.35">
      <c r="A91" s="54"/>
      <c r="B91" s="45"/>
      <c r="C91" s="54"/>
      <c r="D91" s="45"/>
      <c r="E91" s="56"/>
      <c r="F91" s="54"/>
      <c r="G91" s="45"/>
      <c r="H91" s="52"/>
      <c r="I91" s="52"/>
      <c r="J91" s="53"/>
      <c r="K91" s="52"/>
      <c r="L91" s="53"/>
      <c r="M91" s="52"/>
      <c r="N91" s="53"/>
      <c r="O91" s="50"/>
      <c r="P91" s="51"/>
      <c r="Q91" s="50"/>
    </row>
    <row r="92" spans="1:17" ht="23.25" x14ac:dyDescent="0.35">
      <c r="A92" s="54"/>
      <c r="B92" s="45"/>
      <c r="C92" s="54"/>
      <c r="D92" s="45"/>
      <c r="E92" s="56"/>
      <c r="F92" s="54"/>
      <c r="G92" s="45"/>
      <c r="H92" s="46">
        <v>2</v>
      </c>
      <c r="I92" s="46">
        <v>3</v>
      </c>
      <c r="J92" s="47">
        <v>4</v>
      </c>
      <c r="K92" s="52"/>
      <c r="L92" s="53"/>
      <c r="M92" s="52"/>
      <c r="N92" s="47" t="s">
        <v>94</v>
      </c>
      <c r="O92" s="50"/>
      <c r="P92" s="49">
        <f>+P93</f>
        <v>1000</v>
      </c>
      <c r="Q92" s="48">
        <f>+Q93</f>
        <v>1000</v>
      </c>
    </row>
    <row r="93" spans="1:17" ht="23.25" x14ac:dyDescent="0.35">
      <c r="A93" s="54"/>
      <c r="B93" s="45"/>
      <c r="C93" s="54"/>
      <c r="D93" s="45"/>
      <c r="E93" s="56"/>
      <c r="F93" s="54"/>
      <c r="G93" s="45">
        <v>9995</v>
      </c>
      <c r="H93" s="52">
        <v>2</v>
      </c>
      <c r="I93" s="52">
        <v>3</v>
      </c>
      <c r="J93" s="53">
        <v>4</v>
      </c>
      <c r="K93" s="52">
        <v>1</v>
      </c>
      <c r="L93" s="53">
        <v>0</v>
      </c>
      <c r="M93" s="52">
        <v>1</v>
      </c>
      <c r="N93" s="53" t="s">
        <v>95</v>
      </c>
      <c r="O93" s="50"/>
      <c r="P93" s="51">
        <v>1000</v>
      </c>
      <c r="Q93" s="50">
        <v>1000</v>
      </c>
    </row>
    <row r="94" spans="1:17" ht="24" thickBot="1" x14ac:dyDescent="0.4">
      <c r="A94" s="60"/>
      <c r="B94" s="61"/>
      <c r="C94" s="60"/>
      <c r="D94" s="61"/>
      <c r="E94" s="62"/>
      <c r="F94" s="60"/>
      <c r="G94" s="61"/>
      <c r="H94" s="63"/>
      <c r="I94" s="63"/>
      <c r="J94" s="64"/>
      <c r="K94" s="63"/>
      <c r="L94" s="64"/>
      <c r="M94" s="63"/>
      <c r="N94" s="64"/>
      <c r="O94" s="65"/>
      <c r="P94" s="66"/>
      <c r="Q94" s="65"/>
    </row>
    <row r="95" spans="1:17" ht="23.25" x14ac:dyDescent="0.35">
      <c r="A95" s="67"/>
      <c r="B95" s="67"/>
      <c r="C95" s="67"/>
      <c r="D95" s="67"/>
      <c r="E95" s="67"/>
      <c r="F95" s="67"/>
      <c r="G95" s="45"/>
      <c r="H95" s="53"/>
      <c r="I95" s="53"/>
      <c r="J95" s="53"/>
      <c r="K95" s="53"/>
      <c r="L95" s="53"/>
      <c r="M95" s="53"/>
      <c r="N95" s="53"/>
      <c r="O95" s="51"/>
      <c r="P95" s="68"/>
      <c r="Q95" s="51"/>
    </row>
    <row r="96" spans="1:17" ht="23.25" x14ac:dyDescent="0.35">
      <c r="A96" s="68"/>
      <c r="B96" s="45"/>
      <c r="C96" s="45"/>
      <c r="D96" s="45"/>
      <c r="E96" s="45"/>
      <c r="F96" s="45"/>
      <c r="G96" s="45"/>
      <c r="H96" s="53"/>
      <c r="I96" s="53"/>
      <c r="J96" s="45"/>
      <c r="K96" s="53"/>
      <c r="L96" s="53"/>
      <c r="M96" s="53"/>
      <c r="N96" s="53"/>
      <c r="O96" s="51"/>
      <c r="P96" s="51"/>
      <c r="Q96" s="51"/>
    </row>
    <row r="97" spans="1:17" ht="23.25" x14ac:dyDescent="0.35">
      <c r="A97" s="45"/>
      <c r="B97" s="45"/>
      <c r="C97" s="45"/>
      <c r="D97" s="45"/>
      <c r="E97" s="45"/>
      <c r="F97" s="45"/>
      <c r="G97" s="45"/>
      <c r="H97" s="53"/>
      <c r="I97" s="53"/>
      <c r="J97" s="53"/>
      <c r="K97" s="53"/>
      <c r="L97" s="53"/>
      <c r="M97" s="53"/>
      <c r="N97" s="53"/>
      <c r="O97" s="51"/>
      <c r="P97" s="51"/>
      <c r="Q97" s="51"/>
    </row>
    <row r="98" spans="1:17" ht="23.25" x14ac:dyDescent="0.35">
      <c r="A98" s="45"/>
      <c r="B98" s="45"/>
      <c r="C98" s="45"/>
      <c r="D98" s="45"/>
      <c r="E98" s="45"/>
      <c r="F98" s="45"/>
      <c r="G98" s="45"/>
      <c r="H98" s="53"/>
      <c r="I98" s="53"/>
      <c r="J98" s="53"/>
      <c r="K98" s="53"/>
      <c r="L98" s="53"/>
      <c r="M98" s="53"/>
      <c r="N98" s="53"/>
      <c r="O98" s="51"/>
      <c r="P98" s="51"/>
      <c r="Q98" s="51"/>
    </row>
    <row r="99" spans="1:17" ht="23.25" x14ac:dyDescent="0.35">
      <c r="A99" s="45"/>
      <c r="B99" s="45"/>
      <c r="C99" s="45"/>
      <c r="D99" s="45"/>
      <c r="E99" s="45"/>
      <c r="F99" s="45"/>
      <c r="G99" s="45"/>
      <c r="H99" s="53"/>
      <c r="I99" s="53"/>
      <c r="J99" s="53"/>
      <c r="K99" s="53"/>
      <c r="L99" s="53"/>
      <c r="M99" s="53"/>
      <c r="N99" s="53"/>
      <c r="O99" s="51"/>
      <c r="P99" s="51"/>
      <c r="Q99" s="51"/>
    </row>
    <row r="100" spans="1:17" ht="23.25" x14ac:dyDescent="0.35">
      <c r="A100" s="69"/>
      <c r="B100" s="70"/>
      <c r="C100" s="71"/>
      <c r="D100" s="70"/>
      <c r="E100" s="71"/>
      <c r="F100" s="70"/>
      <c r="G100" s="71"/>
      <c r="H100" s="72"/>
      <c r="I100" s="73"/>
      <c r="J100" s="72"/>
      <c r="K100" s="73"/>
      <c r="L100" s="72"/>
      <c r="M100" s="73"/>
      <c r="N100" s="72"/>
      <c r="O100" s="74"/>
      <c r="P100" s="75"/>
      <c r="Q100" s="76"/>
    </row>
    <row r="101" spans="1:17" ht="23.25" x14ac:dyDescent="0.35">
      <c r="A101" s="56"/>
      <c r="B101" s="54"/>
      <c r="C101" s="45"/>
      <c r="D101" s="54"/>
      <c r="E101" s="45"/>
      <c r="F101" s="54"/>
      <c r="G101" s="45"/>
      <c r="H101" s="52"/>
      <c r="I101" s="53"/>
      <c r="J101" s="52"/>
      <c r="K101" s="53"/>
      <c r="L101" s="52"/>
      <c r="M101" s="53"/>
      <c r="N101" s="52"/>
      <c r="O101" s="51"/>
      <c r="P101" s="50"/>
      <c r="Q101" s="77"/>
    </row>
    <row r="102" spans="1:17" ht="23.25" x14ac:dyDescent="0.35">
      <c r="A102" s="56"/>
      <c r="B102" s="44" t="s">
        <v>33</v>
      </c>
      <c r="C102" s="2" t="s">
        <v>33</v>
      </c>
      <c r="D102" s="44"/>
      <c r="E102" s="2" t="s">
        <v>34</v>
      </c>
      <c r="F102" s="44" t="s">
        <v>36</v>
      </c>
      <c r="G102" s="45"/>
      <c r="H102" s="46">
        <v>2</v>
      </c>
      <c r="I102" s="47">
        <v>3</v>
      </c>
      <c r="J102" s="46">
        <v>5</v>
      </c>
      <c r="K102" s="47"/>
      <c r="L102" s="46"/>
      <c r="M102" s="47"/>
      <c r="N102" s="46" t="s">
        <v>96</v>
      </c>
      <c r="O102" s="51"/>
      <c r="P102" s="48">
        <f>+P103+P104+P105+P106</f>
        <v>251700.51</v>
      </c>
      <c r="Q102" s="78">
        <f>+Q103+Q104+Q105+Q106</f>
        <v>15222.57</v>
      </c>
    </row>
    <row r="103" spans="1:17" ht="23.25" x14ac:dyDescent="0.35">
      <c r="A103" s="56"/>
      <c r="B103" s="44"/>
      <c r="C103" s="2"/>
      <c r="D103" s="44"/>
      <c r="E103" s="2"/>
      <c r="F103" s="44"/>
      <c r="G103" s="45">
        <v>9995</v>
      </c>
      <c r="H103" s="52">
        <v>2</v>
      </c>
      <c r="I103" s="53">
        <v>3</v>
      </c>
      <c r="J103" s="52">
        <v>5</v>
      </c>
      <c r="K103" s="53">
        <v>2</v>
      </c>
      <c r="L103" s="52">
        <v>0</v>
      </c>
      <c r="M103" s="53">
        <v>1</v>
      </c>
      <c r="N103" s="52" t="s">
        <v>97</v>
      </c>
      <c r="O103" s="51"/>
      <c r="P103" s="50">
        <v>1771.96</v>
      </c>
      <c r="Q103" s="77">
        <v>1771.96</v>
      </c>
    </row>
    <row r="104" spans="1:17" ht="23.25" x14ac:dyDescent="0.35">
      <c r="A104" s="56"/>
      <c r="B104" s="44"/>
      <c r="C104" s="2"/>
      <c r="D104" s="44"/>
      <c r="E104" s="2"/>
      <c r="F104" s="44"/>
      <c r="G104" s="45">
        <v>9995</v>
      </c>
      <c r="H104" s="52">
        <v>2</v>
      </c>
      <c r="I104" s="53">
        <v>3</v>
      </c>
      <c r="J104" s="52">
        <v>5</v>
      </c>
      <c r="K104" s="53">
        <v>3</v>
      </c>
      <c r="L104" s="52">
        <v>0</v>
      </c>
      <c r="M104" s="53">
        <v>1</v>
      </c>
      <c r="N104" s="52" t="s">
        <v>98</v>
      </c>
      <c r="O104" s="51"/>
      <c r="P104" s="50">
        <f>1593+153518</f>
        <v>155111</v>
      </c>
      <c r="Q104" s="77">
        <v>1593</v>
      </c>
    </row>
    <row r="105" spans="1:17" ht="23.25" x14ac:dyDescent="0.35">
      <c r="A105" s="56"/>
      <c r="B105" s="44"/>
      <c r="C105" s="2"/>
      <c r="D105" s="44"/>
      <c r="E105" s="2"/>
      <c r="F105" s="44"/>
      <c r="G105" s="45">
        <v>9995</v>
      </c>
      <c r="H105" s="52">
        <v>2</v>
      </c>
      <c r="I105" s="53">
        <v>3</v>
      </c>
      <c r="J105" s="52">
        <v>5</v>
      </c>
      <c r="K105" s="53">
        <v>4</v>
      </c>
      <c r="L105" s="52">
        <v>0</v>
      </c>
      <c r="M105" s="53">
        <v>1</v>
      </c>
      <c r="N105" s="52" t="s">
        <v>99</v>
      </c>
      <c r="O105" s="51"/>
      <c r="P105" s="50">
        <f>295+13700.04-10000+4109.5</f>
        <v>8104.5400000000009</v>
      </c>
      <c r="Q105" s="77">
        <f>295+13700.04-10000+4109.5</f>
        <v>8104.5400000000009</v>
      </c>
    </row>
    <row r="106" spans="1:17" ht="23.25" x14ac:dyDescent="0.35">
      <c r="A106" s="56"/>
      <c r="B106" s="54"/>
      <c r="C106" s="45"/>
      <c r="D106" s="54"/>
      <c r="E106" s="45"/>
      <c r="F106" s="54"/>
      <c r="G106" s="45">
        <v>9995</v>
      </c>
      <c r="H106" s="52">
        <v>2</v>
      </c>
      <c r="I106" s="53">
        <v>3</v>
      </c>
      <c r="J106" s="52">
        <v>5</v>
      </c>
      <c r="K106" s="53">
        <v>5</v>
      </c>
      <c r="L106" s="52">
        <v>0</v>
      </c>
      <c r="M106" s="53">
        <v>1</v>
      </c>
      <c r="N106" s="52" t="s">
        <v>100</v>
      </c>
      <c r="O106" s="51"/>
      <c r="P106" s="50">
        <f>99.99+3653.08+79199.97+3759.97</f>
        <v>86713.010000000009</v>
      </c>
      <c r="Q106" s="77">
        <f>99.99+3653.08</f>
        <v>3753.0699999999997</v>
      </c>
    </row>
    <row r="107" spans="1:17" ht="23.25" x14ac:dyDescent="0.35">
      <c r="A107" s="56"/>
      <c r="B107" s="54"/>
      <c r="C107" s="45"/>
      <c r="D107" s="54"/>
      <c r="E107" s="45"/>
      <c r="F107" s="54"/>
      <c r="G107" s="45"/>
      <c r="H107" s="52"/>
      <c r="I107" s="53"/>
      <c r="J107" s="52"/>
      <c r="K107" s="53"/>
      <c r="L107" s="52"/>
      <c r="M107" s="53"/>
      <c r="N107" s="52"/>
      <c r="O107" s="51"/>
      <c r="P107" s="50"/>
      <c r="Q107" s="77"/>
    </row>
    <row r="108" spans="1:17" ht="23.25" x14ac:dyDescent="0.35">
      <c r="A108" s="56"/>
      <c r="B108" s="54"/>
      <c r="C108" s="45"/>
      <c r="D108" s="54"/>
      <c r="E108" s="45"/>
      <c r="F108" s="54"/>
      <c r="G108" s="45"/>
      <c r="H108" s="46">
        <v>2</v>
      </c>
      <c r="I108" s="47">
        <v>3</v>
      </c>
      <c r="J108" s="46">
        <v>6</v>
      </c>
      <c r="K108" s="47"/>
      <c r="L108" s="52"/>
      <c r="M108" s="53"/>
      <c r="N108" s="46" t="s">
        <v>101</v>
      </c>
      <c r="O108" s="51"/>
      <c r="P108" s="48">
        <f>+P110+P111+P112+P113+P114+P115+P116</f>
        <v>84454.37</v>
      </c>
      <c r="Q108" s="78">
        <f>+Q110+Q111+Q112+Q113+Q114+Q115+Q116</f>
        <v>57243.880000000005</v>
      </c>
    </row>
    <row r="109" spans="1:17" ht="23.25" x14ac:dyDescent="0.35">
      <c r="A109" s="56"/>
      <c r="B109" s="54"/>
      <c r="C109" s="45"/>
      <c r="D109" s="54"/>
      <c r="E109" s="45"/>
      <c r="F109" s="54"/>
      <c r="G109" s="45"/>
      <c r="H109" s="46"/>
      <c r="I109" s="47"/>
      <c r="J109" s="46"/>
      <c r="K109" s="47"/>
      <c r="L109" s="52"/>
      <c r="M109" s="53"/>
      <c r="N109" s="46"/>
      <c r="O109" s="51"/>
      <c r="P109" s="48"/>
      <c r="Q109" s="78"/>
    </row>
    <row r="110" spans="1:17" ht="23.25" x14ac:dyDescent="0.35">
      <c r="A110" s="56"/>
      <c r="B110" s="54"/>
      <c r="C110" s="45"/>
      <c r="D110" s="54"/>
      <c r="E110" s="45"/>
      <c r="F110" s="54"/>
      <c r="G110" s="45">
        <v>9995</v>
      </c>
      <c r="H110" s="52">
        <v>2</v>
      </c>
      <c r="I110" s="53">
        <v>3</v>
      </c>
      <c r="J110" s="52">
        <v>6</v>
      </c>
      <c r="K110" s="53">
        <v>1</v>
      </c>
      <c r="L110" s="52">
        <v>0</v>
      </c>
      <c r="M110" s="53">
        <v>2</v>
      </c>
      <c r="N110" s="52" t="s">
        <v>102</v>
      </c>
      <c r="O110" s="51"/>
      <c r="P110" s="50">
        <v>1866.17</v>
      </c>
      <c r="Q110" s="77">
        <v>1866.17</v>
      </c>
    </row>
    <row r="111" spans="1:17" ht="23.25" x14ac:dyDescent="0.35">
      <c r="A111" s="56"/>
      <c r="B111" s="54"/>
      <c r="C111" s="45"/>
      <c r="D111" s="54"/>
      <c r="E111" s="45"/>
      <c r="F111" s="54"/>
      <c r="G111" s="45">
        <v>9995</v>
      </c>
      <c r="H111" s="52">
        <v>2</v>
      </c>
      <c r="I111" s="53">
        <v>3</v>
      </c>
      <c r="J111" s="52">
        <v>6</v>
      </c>
      <c r="K111" s="53">
        <v>1</v>
      </c>
      <c r="L111" s="52">
        <v>0</v>
      </c>
      <c r="M111" s="53">
        <v>4</v>
      </c>
      <c r="N111" s="52" t="s">
        <v>103</v>
      </c>
      <c r="O111" s="51"/>
      <c r="P111" s="50">
        <f>8590.83-6000</f>
        <v>2590.83</v>
      </c>
      <c r="Q111" s="77">
        <f>7154.25-6000</f>
        <v>1154.25</v>
      </c>
    </row>
    <row r="112" spans="1:17" ht="23.25" x14ac:dyDescent="0.35">
      <c r="A112" s="56"/>
      <c r="B112" s="54"/>
      <c r="C112" s="45"/>
      <c r="D112" s="54"/>
      <c r="E112" s="45"/>
      <c r="F112" s="54"/>
      <c r="G112" s="45">
        <v>9995</v>
      </c>
      <c r="H112" s="52">
        <v>2</v>
      </c>
      <c r="I112" s="53">
        <v>3</v>
      </c>
      <c r="J112" s="52">
        <v>6</v>
      </c>
      <c r="K112" s="53">
        <v>2</v>
      </c>
      <c r="L112" s="52">
        <v>0</v>
      </c>
      <c r="M112" s="53">
        <v>1</v>
      </c>
      <c r="N112" s="52" t="s">
        <v>104</v>
      </c>
      <c r="O112" s="51"/>
      <c r="P112" s="50">
        <v>2178.87</v>
      </c>
      <c r="Q112" s="77">
        <v>2178.87</v>
      </c>
    </row>
    <row r="113" spans="1:17" ht="23.25" x14ac:dyDescent="0.35">
      <c r="A113" s="56"/>
      <c r="B113" s="54"/>
      <c r="C113" s="45"/>
      <c r="D113" s="54"/>
      <c r="E113" s="45"/>
      <c r="F113" s="54"/>
      <c r="G113" s="45">
        <v>9995</v>
      </c>
      <c r="H113" s="52">
        <v>2</v>
      </c>
      <c r="I113" s="53">
        <v>3</v>
      </c>
      <c r="J113" s="52">
        <v>6</v>
      </c>
      <c r="K113" s="53">
        <v>2</v>
      </c>
      <c r="L113" s="52">
        <v>0</v>
      </c>
      <c r="M113" s="53">
        <v>2</v>
      </c>
      <c r="N113" s="52" t="s">
        <v>105</v>
      </c>
      <c r="O113" s="51"/>
      <c r="P113" s="50">
        <v>2577.13</v>
      </c>
      <c r="Q113" s="77">
        <v>2577.13</v>
      </c>
    </row>
    <row r="114" spans="1:17" ht="23.25" x14ac:dyDescent="0.35">
      <c r="A114" s="56"/>
      <c r="B114" s="54"/>
      <c r="C114" s="45"/>
      <c r="D114" s="54"/>
      <c r="E114" s="45"/>
      <c r="F114" s="54"/>
      <c r="G114" s="45">
        <v>9995</v>
      </c>
      <c r="H114" s="52">
        <v>2</v>
      </c>
      <c r="I114" s="53">
        <v>3</v>
      </c>
      <c r="J114" s="52">
        <v>6</v>
      </c>
      <c r="K114" s="53">
        <v>2</v>
      </c>
      <c r="L114" s="52">
        <v>0</v>
      </c>
      <c r="M114" s="53">
        <v>3</v>
      </c>
      <c r="N114" s="52" t="s">
        <v>106</v>
      </c>
      <c r="O114" s="51"/>
      <c r="P114" s="50">
        <v>2163.48</v>
      </c>
      <c r="Q114" s="77">
        <v>2163.48</v>
      </c>
    </row>
    <row r="115" spans="1:17" ht="23.25" x14ac:dyDescent="0.35">
      <c r="A115" s="56"/>
      <c r="B115" s="54"/>
      <c r="C115" s="45"/>
      <c r="D115" s="54"/>
      <c r="E115" s="45"/>
      <c r="F115" s="54"/>
      <c r="G115" s="45">
        <v>9995</v>
      </c>
      <c r="H115" s="52">
        <v>2</v>
      </c>
      <c r="I115" s="53">
        <v>3</v>
      </c>
      <c r="J115" s="52">
        <v>6</v>
      </c>
      <c r="K115" s="53">
        <v>3</v>
      </c>
      <c r="L115" s="52">
        <v>0</v>
      </c>
      <c r="M115" s="53">
        <v>1</v>
      </c>
      <c r="N115" s="52" t="s">
        <v>107</v>
      </c>
      <c r="O115" s="51"/>
      <c r="P115" s="50">
        <f>8974.2+44700.03+834.74+22655.26-10000+4109.44</f>
        <v>71273.67</v>
      </c>
      <c r="Q115" s="77">
        <f>8974.2+41581.38+834.74-10000+4109.44</f>
        <v>45499.76</v>
      </c>
    </row>
    <row r="116" spans="1:17" ht="23.25" x14ac:dyDescent="0.35">
      <c r="A116" s="56"/>
      <c r="B116" s="54"/>
      <c r="C116" s="45"/>
      <c r="D116" s="54"/>
      <c r="E116" s="45"/>
      <c r="F116" s="54"/>
      <c r="G116" s="45">
        <v>9995</v>
      </c>
      <c r="H116" s="52">
        <v>2</v>
      </c>
      <c r="I116" s="53">
        <v>3</v>
      </c>
      <c r="J116" s="52">
        <v>6</v>
      </c>
      <c r="K116" s="53">
        <v>4</v>
      </c>
      <c r="L116" s="52">
        <v>0</v>
      </c>
      <c r="M116" s="53">
        <v>4</v>
      </c>
      <c r="N116" s="52" t="s">
        <v>108</v>
      </c>
      <c r="O116" s="51"/>
      <c r="P116" s="50">
        <v>1804.22</v>
      </c>
      <c r="Q116" s="77">
        <v>1804.22</v>
      </c>
    </row>
    <row r="117" spans="1:17" ht="23.25" x14ac:dyDescent="0.35">
      <c r="A117" s="56"/>
      <c r="B117" s="54"/>
      <c r="C117" s="45"/>
      <c r="D117" s="54"/>
      <c r="E117" s="45"/>
      <c r="F117" s="54"/>
      <c r="G117" s="45"/>
      <c r="H117" s="52"/>
      <c r="I117" s="53"/>
      <c r="J117" s="52"/>
      <c r="K117" s="53"/>
      <c r="L117" s="52"/>
      <c r="M117" s="53"/>
      <c r="N117" s="52"/>
      <c r="O117" s="51"/>
      <c r="P117" s="50"/>
      <c r="Q117" s="77"/>
    </row>
    <row r="118" spans="1:17" ht="325.5" x14ac:dyDescent="0.35">
      <c r="A118" s="56"/>
      <c r="B118" s="44"/>
      <c r="C118" s="2"/>
      <c r="D118" s="44"/>
      <c r="E118" s="2"/>
      <c r="F118" s="44"/>
      <c r="G118" s="45"/>
      <c r="H118" s="46">
        <v>2</v>
      </c>
      <c r="I118" s="47">
        <v>3</v>
      </c>
      <c r="J118" s="46">
        <v>7</v>
      </c>
      <c r="K118" s="47"/>
      <c r="L118" s="46"/>
      <c r="M118" s="47"/>
      <c r="N118" s="79" t="s">
        <v>109</v>
      </c>
      <c r="O118" s="51"/>
      <c r="P118" s="80">
        <f>+P119+P120</f>
        <v>188414.24</v>
      </c>
      <c r="Q118" s="81">
        <f>+Q119+Q120</f>
        <v>7509.44</v>
      </c>
    </row>
    <row r="119" spans="1:17" ht="23.25" x14ac:dyDescent="0.35">
      <c r="A119" s="56"/>
      <c r="B119" s="54"/>
      <c r="C119" s="45"/>
      <c r="D119" s="54"/>
      <c r="E119" s="45"/>
      <c r="F119" s="54"/>
      <c r="G119" s="45">
        <v>9995</v>
      </c>
      <c r="H119" s="52">
        <v>2</v>
      </c>
      <c r="I119" s="53">
        <v>3</v>
      </c>
      <c r="J119" s="52">
        <v>7</v>
      </c>
      <c r="K119" s="53">
        <v>1</v>
      </c>
      <c r="L119" s="52">
        <v>0</v>
      </c>
      <c r="M119" s="53">
        <v>1</v>
      </c>
      <c r="N119" s="52" t="s">
        <v>110</v>
      </c>
      <c r="O119" s="51"/>
      <c r="P119" s="50">
        <f>4500+4500+180904.8-7000+4109.44</f>
        <v>187014.24</v>
      </c>
      <c r="Q119" s="77">
        <f>4500+4500-7000+4109.44</f>
        <v>6109.44</v>
      </c>
    </row>
    <row r="120" spans="1:17" ht="23.25" x14ac:dyDescent="0.35">
      <c r="A120" s="56"/>
      <c r="B120" s="54"/>
      <c r="C120" s="45"/>
      <c r="D120" s="54"/>
      <c r="E120" s="45"/>
      <c r="F120" s="54"/>
      <c r="G120" s="45">
        <v>9995</v>
      </c>
      <c r="H120" s="52">
        <v>2</v>
      </c>
      <c r="I120" s="53">
        <v>3</v>
      </c>
      <c r="J120" s="52">
        <v>7</v>
      </c>
      <c r="K120" s="53">
        <v>1</v>
      </c>
      <c r="L120" s="52">
        <v>0</v>
      </c>
      <c r="M120" s="53">
        <v>4</v>
      </c>
      <c r="N120" s="52" t="s">
        <v>111</v>
      </c>
      <c r="O120" s="51"/>
      <c r="P120" s="50">
        <f>700+700</f>
        <v>1400</v>
      </c>
      <c r="Q120" s="77">
        <f>700+700</f>
        <v>1400</v>
      </c>
    </row>
    <row r="121" spans="1:17" ht="23.25" x14ac:dyDescent="0.35">
      <c r="A121" s="56"/>
      <c r="B121" s="54"/>
      <c r="C121" s="45"/>
      <c r="D121" s="54"/>
      <c r="E121" s="45"/>
      <c r="F121" s="54"/>
      <c r="G121" s="45"/>
      <c r="H121" s="52"/>
      <c r="I121" s="53"/>
      <c r="J121" s="52"/>
      <c r="K121" s="53"/>
      <c r="L121" s="52"/>
      <c r="M121" s="53"/>
      <c r="N121" s="52"/>
      <c r="O121" s="51"/>
      <c r="P121" s="50"/>
      <c r="Q121" s="77"/>
    </row>
    <row r="122" spans="1:17" ht="23.25" x14ac:dyDescent="0.35">
      <c r="A122" s="56"/>
      <c r="B122" s="44" t="s">
        <v>33</v>
      </c>
      <c r="C122" s="2" t="s">
        <v>33</v>
      </c>
      <c r="D122" s="44"/>
      <c r="E122" s="2" t="s">
        <v>34</v>
      </c>
      <c r="F122" s="44" t="s">
        <v>36</v>
      </c>
      <c r="G122" s="45"/>
      <c r="H122" s="46">
        <v>2</v>
      </c>
      <c r="I122" s="47">
        <v>3</v>
      </c>
      <c r="J122" s="46">
        <v>9</v>
      </c>
      <c r="K122" s="47"/>
      <c r="L122" s="46"/>
      <c r="M122" s="47"/>
      <c r="N122" s="46" t="s">
        <v>112</v>
      </c>
      <c r="O122" s="51"/>
      <c r="P122" s="80">
        <f>+P123+P124+P125</f>
        <v>134164.62</v>
      </c>
      <c r="Q122" s="82">
        <f>+Q123+Q124+Q125</f>
        <v>14498.46</v>
      </c>
    </row>
    <row r="123" spans="1:17" ht="23.25" x14ac:dyDescent="0.35">
      <c r="A123" s="56"/>
      <c r="B123" s="44"/>
      <c r="C123" s="2"/>
      <c r="D123" s="44"/>
      <c r="E123" s="2"/>
      <c r="F123" s="44"/>
      <c r="G123" s="45">
        <v>9995</v>
      </c>
      <c r="H123" s="52">
        <v>2</v>
      </c>
      <c r="I123" s="53">
        <v>3</v>
      </c>
      <c r="J123" s="52">
        <v>9</v>
      </c>
      <c r="K123" s="53">
        <v>1</v>
      </c>
      <c r="L123" s="52">
        <v>0</v>
      </c>
      <c r="M123" s="53">
        <v>1</v>
      </c>
      <c r="N123" s="52" t="s">
        <v>113</v>
      </c>
      <c r="O123" s="51"/>
      <c r="P123" s="83">
        <f>800+119666.16</f>
        <v>120466.16</v>
      </c>
      <c r="Q123" s="84">
        <v>800</v>
      </c>
    </row>
    <row r="124" spans="1:17" ht="23.25" x14ac:dyDescent="0.35">
      <c r="A124" s="56"/>
      <c r="B124" s="44"/>
      <c r="C124" s="2"/>
      <c r="D124" s="44"/>
      <c r="E124" s="2"/>
      <c r="F124" s="44"/>
      <c r="G124" s="45">
        <v>9995</v>
      </c>
      <c r="H124" s="52">
        <v>2</v>
      </c>
      <c r="I124" s="53">
        <v>3</v>
      </c>
      <c r="J124" s="52">
        <v>9</v>
      </c>
      <c r="K124" s="53">
        <v>6</v>
      </c>
      <c r="L124" s="52">
        <v>0</v>
      </c>
      <c r="M124" s="53">
        <v>1</v>
      </c>
      <c r="N124" s="52" t="s">
        <v>114</v>
      </c>
      <c r="O124" s="51"/>
      <c r="P124" s="50">
        <f>1209.5+15200-8029.69+4109.44</f>
        <v>12489.25</v>
      </c>
      <c r="Q124" s="77">
        <f>1209.5+15200-8029.69+4109.44</f>
        <v>12489.25</v>
      </c>
    </row>
    <row r="125" spans="1:17" ht="23.25" x14ac:dyDescent="0.35">
      <c r="A125" s="56"/>
      <c r="B125" s="54"/>
      <c r="C125" s="45"/>
      <c r="D125" s="54"/>
      <c r="E125" s="45"/>
      <c r="F125" s="54"/>
      <c r="G125" s="45">
        <v>9995</v>
      </c>
      <c r="H125" s="52">
        <v>2</v>
      </c>
      <c r="I125" s="53">
        <v>3</v>
      </c>
      <c r="J125" s="52">
        <v>9</v>
      </c>
      <c r="K125" s="53">
        <v>9</v>
      </c>
      <c r="L125" s="52">
        <v>0</v>
      </c>
      <c r="M125" s="53">
        <v>1</v>
      </c>
      <c r="N125" s="52" t="s">
        <v>115</v>
      </c>
      <c r="O125" s="51"/>
      <c r="P125" s="50">
        <f>5000+1209.21-5000</f>
        <v>1209.21</v>
      </c>
      <c r="Q125" s="77">
        <f>5000+1209.21-5000</f>
        <v>1209.21</v>
      </c>
    </row>
    <row r="126" spans="1:17" ht="23.25" x14ac:dyDescent="0.35">
      <c r="A126" s="56"/>
      <c r="B126" s="54"/>
      <c r="C126" s="45"/>
      <c r="D126" s="54"/>
      <c r="E126" s="45"/>
      <c r="F126" s="54"/>
      <c r="G126" s="45"/>
      <c r="H126" s="52"/>
      <c r="I126" s="53"/>
      <c r="J126" s="52"/>
      <c r="K126" s="53"/>
      <c r="L126" s="52"/>
      <c r="M126" s="53"/>
      <c r="N126" s="52"/>
      <c r="O126" s="51"/>
      <c r="P126" s="50"/>
      <c r="Q126" s="77"/>
    </row>
    <row r="127" spans="1:17" ht="23.25" x14ac:dyDescent="0.35">
      <c r="A127" s="56"/>
      <c r="B127" s="54"/>
      <c r="C127" s="45"/>
      <c r="D127" s="54"/>
      <c r="E127" s="45"/>
      <c r="F127" s="54"/>
      <c r="G127" s="45"/>
      <c r="H127" s="46">
        <v>2</v>
      </c>
      <c r="I127" s="47">
        <v>4</v>
      </c>
      <c r="J127" s="46"/>
      <c r="K127" s="47"/>
      <c r="L127" s="46"/>
      <c r="M127" s="47"/>
      <c r="N127" s="46" t="s">
        <v>116</v>
      </c>
      <c r="O127" s="49">
        <f>+P127-Q127</f>
        <v>900</v>
      </c>
      <c r="P127" s="48">
        <f>+P129+P132</f>
        <v>540838.18999999994</v>
      </c>
      <c r="Q127" s="78">
        <f>+Q129+Q132</f>
        <v>539938.18999999994</v>
      </c>
    </row>
    <row r="128" spans="1:17" ht="23.25" x14ac:dyDescent="0.35">
      <c r="A128" s="56"/>
      <c r="B128" s="54"/>
      <c r="C128" s="45"/>
      <c r="D128" s="54"/>
      <c r="E128" s="45"/>
      <c r="F128" s="54"/>
      <c r="G128" s="45"/>
      <c r="H128" s="46"/>
      <c r="I128" s="47"/>
      <c r="J128" s="46"/>
      <c r="K128" s="47"/>
      <c r="L128" s="46"/>
      <c r="M128" s="47"/>
      <c r="N128" s="46"/>
      <c r="O128" s="51"/>
      <c r="P128" s="48"/>
      <c r="Q128" s="78"/>
    </row>
    <row r="129" spans="1:17" ht="23.25" x14ac:dyDescent="0.35">
      <c r="A129" s="56"/>
      <c r="B129" s="54"/>
      <c r="C129" s="45"/>
      <c r="D129" s="54"/>
      <c r="E129" s="45"/>
      <c r="F129" s="54"/>
      <c r="G129" s="45"/>
      <c r="H129" s="46">
        <v>2</v>
      </c>
      <c r="I129" s="47">
        <v>4</v>
      </c>
      <c r="J129" s="46">
        <v>1</v>
      </c>
      <c r="K129" s="47"/>
      <c r="L129" s="46"/>
      <c r="M129" s="47"/>
      <c r="N129" s="85" t="s">
        <v>117</v>
      </c>
      <c r="O129" s="51"/>
      <c r="P129" s="48">
        <f>+P130</f>
        <v>22250</v>
      </c>
      <c r="Q129" s="78">
        <f>+Q130</f>
        <v>21350</v>
      </c>
    </row>
    <row r="130" spans="1:17" ht="23.25" x14ac:dyDescent="0.35">
      <c r="A130" s="56"/>
      <c r="B130" s="54"/>
      <c r="C130" s="45"/>
      <c r="D130" s="54"/>
      <c r="E130" s="45"/>
      <c r="F130" s="54"/>
      <c r="G130" s="45">
        <v>9995</v>
      </c>
      <c r="H130" s="52">
        <v>2</v>
      </c>
      <c r="I130" s="53">
        <v>4</v>
      </c>
      <c r="J130" s="52">
        <v>1</v>
      </c>
      <c r="K130" s="53">
        <v>4</v>
      </c>
      <c r="L130" s="52">
        <v>0</v>
      </c>
      <c r="M130" s="53">
        <v>1</v>
      </c>
      <c r="N130" s="52" t="s">
        <v>118</v>
      </c>
      <c r="O130" s="51"/>
      <c r="P130" s="50">
        <f>4250+18000</f>
        <v>22250</v>
      </c>
      <c r="Q130" s="77">
        <f>4250+17100</f>
        <v>21350</v>
      </c>
    </row>
    <row r="131" spans="1:17" ht="23.25" x14ac:dyDescent="0.35">
      <c r="A131" s="56"/>
      <c r="B131" s="54"/>
      <c r="C131" s="45"/>
      <c r="D131" s="54"/>
      <c r="E131" s="45"/>
      <c r="F131" s="54"/>
      <c r="G131" s="45"/>
      <c r="H131" s="52"/>
      <c r="I131" s="53"/>
      <c r="J131" s="52"/>
      <c r="K131" s="53"/>
      <c r="L131" s="52"/>
      <c r="M131" s="53"/>
      <c r="N131" s="52"/>
      <c r="O131" s="51"/>
      <c r="P131" s="50"/>
      <c r="Q131" s="77"/>
    </row>
    <row r="132" spans="1:17" ht="372" x14ac:dyDescent="0.35">
      <c r="A132" s="56"/>
      <c r="B132" s="54"/>
      <c r="C132" s="45"/>
      <c r="D132" s="54"/>
      <c r="E132" s="45"/>
      <c r="F132" s="54"/>
      <c r="G132" s="45"/>
      <c r="H132" s="46">
        <v>2</v>
      </c>
      <c r="I132" s="47">
        <v>4</v>
      </c>
      <c r="J132" s="46">
        <v>4</v>
      </c>
      <c r="K132" s="47"/>
      <c r="L132" s="46"/>
      <c r="M132" s="47"/>
      <c r="N132" s="86" t="s">
        <v>119</v>
      </c>
      <c r="O132" s="49"/>
      <c r="P132" s="48">
        <f>+P133</f>
        <v>518588.19</v>
      </c>
      <c r="Q132" s="78">
        <f>+Q133</f>
        <v>518588.19</v>
      </c>
    </row>
    <row r="133" spans="1:17" ht="23.25" x14ac:dyDescent="0.35">
      <c r="A133" s="56"/>
      <c r="B133" s="54"/>
      <c r="C133" s="45"/>
      <c r="D133" s="54"/>
      <c r="E133" s="45"/>
      <c r="F133" s="54"/>
      <c r="G133" s="45">
        <v>9995</v>
      </c>
      <c r="H133" s="52">
        <v>2</v>
      </c>
      <c r="I133" s="53">
        <v>4</v>
      </c>
      <c r="J133" s="52">
        <v>4</v>
      </c>
      <c r="K133" s="53">
        <v>1</v>
      </c>
      <c r="L133" s="52">
        <v>0</v>
      </c>
      <c r="M133" s="53">
        <v>2</v>
      </c>
      <c r="N133" s="87" t="s">
        <v>120</v>
      </c>
      <c r="O133" s="51"/>
      <c r="P133" s="50">
        <f>+'[1]relacion ingresos'!B37</f>
        <v>518588.19</v>
      </c>
      <c r="Q133" s="77">
        <f>+P133</f>
        <v>518588.19</v>
      </c>
    </row>
    <row r="134" spans="1:17" ht="23.25" x14ac:dyDescent="0.35">
      <c r="A134" s="56"/>
      <c r="B134" s="54"/>
      <c r="C134" s="45"/>
      <c r="D134" s="54"/>
      <c r="E134" s="45"/>
      <c r="F134" s="54"/>
      <c r="G134" s="45"/>
      <c r="H134" s="52"/>
      <c r="I134" s="53"/>
      <c r="J134" s="52"/>
      <c r="K134" s="53"/>
      <c r="L134" s="52"/>
      <c r="M134" s="53"/>
      <c r="N134" s="52"/>
      <c r="O134" s="51"/>
      <c r="P134" s="50"/>
      <c r="Q134" s="77"/>
    </row>
    <row r="135" spans="1:17" ht="23.25" x14ac:dyDescent="0.35">
      <c r="A135" s="56">
        <v>11</v>
      </c>
      <c r="B135" s="44" t="s">
        <v>33</v>
      </c>
      <c r="C135" s="2" t="s">
        <v>33</v>
      </c>
      <c r="D135" s="54">
        <v>0.1</v>
      </c>
      <c r="E135" s="2" t="s">
        <v>34</v>
      </c>
      <c r="F135" s="44" t="s">
        <v>36</v>
      </c>
      <c r="G135" s="45"/>
      <c r="H135" s="46">
        <v>2</v>
      </c>
      <c r="I135" s="47">
        <v>6</v>
      </c>
      <c r="J135" s="46"/>
      <c r="K135" s="47"/>
      <c r="L135" s="46"/>
      <c r="M135" s="47"/>
      <c r="N135" s="46" t="s">
        <v>121</v>
      </c>
      <c r="O135" s="49">
        <f>+P135-Q135</f>
        <v>131390.64000000001</v>
      </c>
      <c r="P135" s="48">
        <f>+P137+P142</f>
        <v>173663.39</v>
      </c>
      <c r="Q135" s="78">
        <f>+Q137+Q142</f>
        <v>42272.75</v>
      </c>
    </row>
    <row r="136" spans="1:17" ht="23.25" x14ac:dyDescent="0.35">
      <c r="A136" s="56"/>
      <c r="B136" s="44"/>
      <c r="C136" s="2"/>
      <c r="D136" s="54"/>
      <c r="E136" s="2"/>
      <c r="F136" s="44"/>
      <c r="G136" s="45"/>
      <c r="H136" s="46"/>
      <c r="I136" s="47"/>
      <c r="J136" s="46"/>
      <c r="K136" s="47"/>
      <c r="L136" s="46"/>
      <c r="M136" s="47"/>
      <c r="N136" s="46"/>
      <c r="O136" s="49"/>
      <c r="P136" s="48"/>
      <c r="Q136" s="78"/>
    </row>
    <row r="137" spans="1:17" ht="23.25" x14ac:dyDescent="0.35">
      <c r="A137" s="56"/>
      <c r="B137" s="44"/>
      <c r="C137" s="2"/>
      <c r="D137" s="54"/>
      <c r="E137" s="2"/>
      <c r="F137" s="44"/>
      <c r="G137" s="45"/>
      <c r="H137" s="46">
        <v>2</v>
      </c>
      <c r="I137" s="47">
        <v>6</v>
      </c>
      <c r="J137" s="46">
        <v>1</v>
      </c>
      <c r="K137" s="47"/>
      <c r="L137" s="46"/>
      <c r="M137" s="47"/>
      <c r="N137" s="46" t="s">
        <v>122</v>
      </c>
      <c r="O137" s="49"/>
      <c r="P137" s="48">
        <f>+P138+P139+P140</f>
        <v>150794.1</v>
      </c>
      <c r="Q137" s="78">
        <f>+Q139</f>
        <v>28000</v>
      </c>
    </row>
    <row r="138" spans="1:17" ht="23.25" x14ac:dyDescent="0.35">
      <c r="A138" s="56"/>
      <c r="B138" s="44"/>
      <c r="C138" s="2"/>
      <c r="D138" s="54"/>
      <c r="E138" s="2"/>
      <c r="F138" s="44"/>
      <c r="G138" s="45">
        <v>9995</v>
      </c>
      <c r="H138" s="52">
        <v>2</v>
      </c>
      <c r="I138" s="53">
        <v>6</v>
      </c>
      <c r="J138" s="52">
        <v>1</v>
      </c>
      <c r="K138" s="53">
        <v>1</v>
      </c>
      <c r="L138" s="52">
        <v>0</v>
      </c>
      <c r="M138" s="53">
        <v>1</v>
      </c>
      <c r="N138" s="52" t="s">
        <v>123</v>
      </c>
      <c r="O138" s="49"/>
      <c r="P138" s="50">
        <v>106156.1</v>
      </c>
      <c r="Q138" s="78"/>
    </row>
    <row r="139" spans="1:17" ht="23.25" x14ac:dyDescent="0.35">
      <c r="A139" s="56"/>
      <c r="B139" s="44"/>
      <c r="C139" s="2"/>
      <c r="D139" s="54"/>
      <c r="E139" s="2"/>
      <c r="F139" s="44"/>
      <c r="G139" s="45">
        <v>9995</v>
      </c>
      <c r="H139" s="52">
        <v>2</v>
      </c>
      <c r="I139" s="53">
        <v>6</v>
      </c>
      <c r="J139" s="52">
        <v>1</v>
      </c>
      <c r="K139" s="53">
        <v>4</v>
      </c>
      <c r="L139" s="52">
        <v>0</v>
      </c>
      <c r="M139" s="53">
        <v>1</v>
      </c>
      <c r="N139" s="52" t="s">
        <v>124</v>
      </c>
      <c r="O139" s="51"/>
      <c r="P139" s="50">
        <v>28000</v>
      </c>
      <c r="Q139" s="77">
        <v>28000</v>
      </c>
    </row>
    <row r="140" spans="1:17" ht="23.25" x14ac:dyDescent="0.35">
      <c r="A140" s="56"/>
      <c r="B140" s="44"/>
      <c r="C140" s="2"/>
      <c r="D140" s="54"/>
      <c r="E140" s="2"/>
      <c r="F140" s="44"/>
      <c r="G140" s="45">
        <v>9995</v>
      </c>
      <c r="H140" s="52">
        <v>2</v>
      </c>
      <c r="I140" s="53">
        <v>6</v>
      </c>
      <c r="J140" s="52">
        <v>1</v>
      </c>
      <c r="K140" s="53">
        <v>9</v>
      </c>
      <c r="L140" s="52">
        <v>0</v>
      </c>
      <c r="M140" s="53">
        <v>1</v>
      </c>
      <c r="N140" s="52" t="s">
        <v>125</v>
      </c>
      <c r="O140" s="51"/>
      <c r="P140" s="50">
        <v>16638</v>
      </c>
      <c r="Q140" s="77"/>
    </row>
    <row r="141" spans="1:17" ht="23.25" x14ac:dyDescent="0.35">
      <c r="A141" s="56"/>
      <c r="B141" s="44"/>
      <c r="C141" s="2"/>
      <c r="D141" s="54"/>
      <c r="E141" s="2"/>
      <c r="F141" s="44"/>
      <c r="G141" s="45"/>
      <c r="H141" s="52"/>
      <c r="I141" s="53"/>
      <c r="J141" s="52"/>
      <c r="K141" s="53"/>
      <c r="L141" s="52"/>
      <c r="M141" s="53"/>
      <c r="N141" s="52"/>
      <c r="O141" s="49"/>
      <c r="P141" s="50"/>
      <c r="Q141" s="77"/>
    </row>
    <row r="142" spans="1:17" ht="23.25" x14ac:dyDescent="0.35">
      <c r="A142" s="56"/>
      <c r="B142" s="44"/>
      <c r="C142" s="2"/>
      <c r="D142" s="54"/>
      <c r="E142" s="2"/>
      <c r="F142" s="44"/>
      <c r="G142" s="45"/>
      <c r="H142" s="46">
        <v>2</v>
      </c>
      <c r="I142" s="47">
        <v>6</v>
      </c>
      <c r="J142" s="46">
        <v>5</v>
      </c>
      <c r="K142" s="53"/>
      <c r="L142" s="52"/>
      <c r="M142" s="53"/>
      <c r="N142" s="85" t="s">
        <v>126</v>
      </c>
      <c r="O142" s="49"/>
      <c r="P142" s="48">
        <f>+P143+P144</f>
        <v>22869.29</v>
      </c>
      <c r="Q142" s="78">
        <f>+Q144</f>
        <v>14272.75</v>
      </c>
    </row>
    <row r="143" spans="1:17" ht="23.25" x14ac:dyDescent="0.35">
      <c r="A143" s="56"/>
      <c r="B143" s="44"/>
      <c r="C143" s="2"/>
      <c r="D143" s="54"/>
      <c r="E143" s="2"/>
      <c r="F143" s="44"/>
      <c r="G143" s="45">
        <v>9995</v>
      </c>
      <c r="H143" s="46">
        <v>2</v>
      </c>
      <c r="I143" s="47">
        <v>6</v>
      </c>
      <c r="J143" s="46">
        <v>5</v>
      </c>
      <c r="K143" s="53">
        <v>2</v>
      </c>
      <c r="L143" s="52">
        <v>0</v>
      </c>
      <c r="M143" s="53">
        <v>1</v>
      </c>
      <c r="N143" s="52" t="s">
        <v>127</v>
      </c>
      <c r="O143" s="49"/>
      <c r="P143" s="50">
        <v>7965</v>
      </c>
      <c r="Q143" s="78"/>
    </row>
    <row r="144" spans="1:17" ht="23.25" x14ac:dyDescent="0.35">
      <c r="A144" s="56"/>
      <c r="B144" s="44"/>
      <c r="C144" s="2"/>
      <c r="D144" s="54"/>
      <c r="E144" s="2"/>
      <c r="F144" s="44"/>
      <c r="G144" s="45">
        <v>9995</v>
      </c>
      <c r="H144" s="52">
        <v>2</v>
      </c>
      <c r="I144" s="53">
        <v>6</v>
      </c>
      <c r="J144" s="52">
        <v>5</v>
      </c>
      <c r="K144" s="53">
        <v>5</v>
      </c>
      <c r="L144" s="52">
        <v>0</v>
      </c>
      <c r="M144" s="53">
        <v>1</v>
      </c>
      <c r="N144" s="52" t="s">
        <v>128</v>
      </c>
      <c r="O144" s="49"/>
      <c r="P144" s="50">
        <v>14904.29</v>
      </c>
      <c r="Q144" s="77">
        <v>14272.75</v>
      </c>
    </row>
    <row r="145" spans="1:17" ht="24" thickBot="1" x14ac:dyDescent="0.4">
      <c r="A145" s="56"/>
      <c r="B145" s="44"/>
      <c r="C145" s="2"/>
      <c r="D145" s="54"/>
      <c r="E145" s="2"/>
      <c r="F145" s="44"/>
      <c r="G145" s="45"/>
      <c r="H145" s="46"/>
      <c r="I145" s="47"/>
      <c r="J145" s="46"/>
      <c r="K145" s="47"/>
      <c r="L145" s="46"/>
      <c r="M145" s="47"/>
      <c r="N145" s="46"/>
      <c r="O145" s="49"/>
      <c r="P145" s="48"/>
      <c r="Q145" s="78"/>
    </row>
    <row r="146" spans="1:17" ht="24" thickBot="1" x14ac:dyDescent="0.4">
      <c r="A146" s="224"/>
      <c r="B146" s="225"/>
      <c r="C146" s="225"/>
      <c r="D146" s="225"/>
      <c r="E146" s="225"/>
      <c r="F146" s="225"/>
      <c r="G146" s="225"/>
      <c r="H146" s="225"/>
      <c r="I146" s="225"/>
      <c r="J146" s="225"/>
      <c r="K146" s="225"/>
      <c r="L146" s="237"/>
      <c r="M146" s="88" t="s">
        <v>129</v>
      </c>
      <c r="N146" s="89"/>
      <c r="O146" s="90">
        <f>+O135+O127+O76+O36+O16</f>
        <v>2206699.96</v>
      </c>
      <c r="P146" s="91">
        <f>+P135+P127+P76+P36+P16</f>
        <v>6417701.0199999996</v>
      </c>
      <c r="Q146" s="92">
        <f>+Q135+Q127+Q76+Q36+Q16</f>
        <v>4211001.0600000005</v>
      </c>
    </row>
    <row r="147" spans="1:17" ht="23.25" x14ac:dyDescent="0.35">
      <c r="A147" s="45"/>
      <c r="B147" s="45"/>
      <c r="C147" s="45"/>
      <c r="D147" s="45"/>
      <c r="E147" s="45"/>
      <c r="F147" s="45"/>
      <c r="G147" s="45"/>
      <c r="H147" s="2"/>
      <c r="I147" s="2"/>
      <c r="J147" s="2"/>
      <c r="K147" s="2"/>
      <c r="L147" s="2"/>
      <c r="M147" s="2"/>
      <c r="N147" s="2"/>
      <c r="O147" s="93"/>
      <c r="P147" s="49"/>
      <c r="Q147" s="49"/>
    </row>
    <row r="148" spans="1:17" ht="23.25" x14ac:dyDescent="0.35">
      <c r="A148" s="45"/>
      <c r="B148" s="45"/>
      <c r="C148" s="45"/>
      <c r="D148" s="45"/>
      <c r="E148" s="45"/>
      <c r="F148" s="45"/>
      <c r="G148" s="45"/>
      <c r="H148" s="2"/>
      <c r="I148" s="2"/>
      <c r="J148" s="2"/>
      <c r="K148" s="2"/>
      <c r="L148" s="2"/>
      <c r="M148" s="2"/>
      <c r="N148" s="2"/>
      <c r="O148" s="93"/>
      <c r="P148" s="94"/>
      <c r="Q148" s="94"/>
    </row>
    <row r="149" spans="1:17" ht="23.25" x14ac:dyDescent="0.35">
      <c r="A149" s="45"/>
      <c r="B149" s="45"/>
      <c r="C149" s="45"/>
      <c r="D149" s="45"/>
      <c r="E149" s="45"/>
      <c r="F149" s="45"/>
      <c r="G149" s="45"/>
      <c r="H149" s="2"/>
      <c r="I149" s="2"/>
      <c r="J149" s="2"/>
      <c r="K149" s="2"/>
      <c r="L149" s="2"/>
      <c r="M149" s="2"/>
      <c r="N149" s="2"/>
      <c r="O149" s="2"/>
      <c r="P149" s="51"/>
      <c r="Q149" s="49"/>
    </row>
    <row r="150" spans="1:17" ht="23.25" x14ac:dyDescent="0.35">
      <c r="A150" s="45"/>
      <c r="B150" s="45"/>
      <c r="C150" s="45"/>
      <c r="D150" s="45"/>
      <c r="E150" s="45"/>
      <c r="F150" s="45"/>
      <c r="G150" s="45"/>
      <c r="H150" s="2"/>
      <c r="I150" s="2"/>
      <c r="J150" s="2"/>
      <c r="K150" s="2"/>
      <c r="L150" s="2"/>
      <c r="M150" s="2"/>
      <c r="N150" s="2"/>
      <c r="O150" s="2"/>
      <c r="P150" s="51"/>
      <c r="Q150" s="49"/>
    </row>
    <row r="151" spans="1:17" ht="23.25" x14ac:dyDescent="0.35">
      <c r="A151" s="45"/>
      <c r="B151" s="45"/>
      <c r="C151" s="45"/>
      <c r="D151" s="45"/>
      <c r="E151" s="45"/>
      <c r="F151" s="45"/>
      <c r="G151" s="45"/>
      <c r="H151" s="2"/>
      <c r="I151" s="2"/>
      <c r="J151" s="2"/>
      <c r="K151" s="2"/>
      <c r="L151" s="2"/>
      <c r="M151" s="2"/>
      <c r="N151" s="2"/>
      <c r="O151" s="2"/>
      <c r="P151" s="51"/>
      <c r="Q151" s="49"/>
    </row>
    <row r="152" spans="1:17" ht="23.25" x14ac:dyDescent="0.35">
      <c r="A152" s="45"/>
      <c r="B152" s="45"/>
      <c r="C152" s="45"/>
      <c r="D152" s="45"/>
      <c r="E152" s="45"/>
      <c r="F152" s="45"/>
      <c r="G152" s="45"/>
      <c r="H152" s="2"/>
      <c r="I152" s="2"/>
      <c r="J152" s="2"/>
      <c r="K152" s="2"/>
      <c r="L152" s="2"/>
      <c r="M152" s="2"/>
      <c r="N152" s="2"/>
      <c r="O152" s="2"/>
      <c r="P152" s="51"/>
      <c r="Q152" s="49"/>
    </row>
    <row r="153" spans="1:17" ht="23.25" x14ac:dyDescent="0.35">
      <c r="A153" s="95"/>
      <c r="B153" s="95"/>
      <c r="C153" s="95"/>
      <c r="D153" s="95"/>
      <c r="E153" s="95"/>
      <c r="F153" s="95"/>
      <c r="G153" s="95"/>
      <c r="H153" s="96"/>
      <c r="I153" s="2"/>
      <c r="J153" s="2"/>
      <c r="K153" s="2"/>
      <c r="L153" s="2"/>
      <c r="M153" s="2"/>
      <c r="N153" s="96"/>
      <c r="O153" s="96"/>
      <c r="P153" s="97"/>
      <c r="Q153" s="98"/>
    </row>
    <row r="154" spans="1:17" ht="27" x14ac:dyDescent="0.5">
      <c r="A154" s="238" t="s">
        <v>130</v>
      </c>
      <c r="B154" s="238"/>
      <c r="C154" s="238"/>
      <c r="D154" s="238"/>
      <c r="E154" s="238"/>
      <c r="F154" s="238"/>
      <c r="G154" s="238"/>
      <c r="H154" s="238"/>
      <c r="I154" s="238"/>
      <c r="J154" s="99"/>
      <c r="K154" s="99"/>
      <c r="L154" s="99"/>
      <c r="M154" s="99"/>
      <c r="N154" s="100" t="s">
        <v>131</v>
      </c>
      <c r="O154" s="239" t="s">
        <v>132</v>
      </c>
      <c r="P154" s="239"/>
      <c r="Q154" s="239"/>
    </row>
    <row r="155" spans="1:17" ht="23.25" x14ac:dyDescent="0.3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01"/>
      <c r="P155" s="102"/>
      <c r="Q155" s="102"/>
    </row>
    <row r="156" spans="1:17" ht="23.25" x14ac:dyDescent="0.3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01"/>
      <c r="P156" s="102"/>
      <c r="Q156" s="102"/>
    </row>
    <row r="157" spans="1:17" ht="23.25" x14ac:dyDescent="0.3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01"/>
      <c r="P157" s="102"/>
      <c r="Q157" s="102"/>
    </row>
    <row r="158" spans="1:17" ht="23.25" x14ac:dyDescent="0.35">
      <c r="A158" s="195"/>
      <c r="B158" s="195"/>
      <c r="C158" s="195"/>
      <c r="D158" s="195"/>
      <c r="E158" s="195"/>
      <c r="F158" s="103"/>
      <c r="G158" s="103"/>
      <c r="H158" s="103"/>
      <c r="I158" s="104"/>
      <c r="J158" s="104"/>
      <c r="K158" s="104"/>
      <c r="L158" s="104"/>
      <c r="M158" s="104"/>
      <c r="N158" s="104"/>
      <c r="O158" s="101"/>
      <c r="P158" s="102"/>
      <c r="Q158" s="102"/>
    </row>
    <row r="159" spans="1:17" ht="23.25" x14ac:dyDescent="0.35">
      <c r="A159" s="105"/>
      <c r="B159" s="105"/>
      <c r="C159" s="105"/>
      <c r="D159" s="105"/>
      <c r="E159" s="105"/>
      <c r="F159" s="68"/>
      <c r="G159" s="68"/>
      <c r="H159" s="68"/>
      <c r="I159" s="105"/>
      <c r="J159" s="105"/>
      <c r="K159" s="105"/>
      <c r="L159" s="105"/>
      <c r="M159" s="105"/>
      <c r="N159" s="105"/>
      <c r="O159" s="105"/>
      <c r="P159" s="105"/>
      <c r="Q159" s="105"/>
    </row>
    <row r="160" spans="1:17" ht="23.25" x14ac:dyDescent="0.35">
      <c r="A160" s="105"/>
      <c r="B160" s="105"/>
      <c r="C160" s="105"/>
      <c r="D160" s="105"/>
      <c r="E160" s="105"/>
      <c r="F160" s="68"/>
      <c r="G160" s="68"/>
      <c r="H160" s="68"/>
      <c r="I160" s="105"/>
      <c r="J160" s="105"/>
      <c r="K160" s="105"/>
      <c r="L160" s="105"/>
      <c r="M160" s="105"/>
      <c r="N160" s="105"/>
      <c r="O160" s="105"/>
      <c r="P160" s="105"/>
      <c r="Q160" s="105"/>
    </row>
    <row r="161" spans="1:17" ht="23.25" x14ac:dyDescent="0.35">
      <c r="A161" s="105"/>
      <c r="B161" s="105"/>
      <c r="C161" s="105"/>
      <c r="D161" s="105"/>
      <c r="E161" s="105"/>
      <c r="F161" s="68"/>
      <c r="G161" s="68"/>
      <c r="H161" s="68"/>
      <c r="I161" s="105"/>
      <c r="J161" s="105"/>
      <c r="K161" s="105"/>
      <c r="L161" s="105"/>
      <c r="M161" s="105"/>
      <c r="N161" s="105"/>
      <c r="O161" s="105"/>
      <c r="P161" s="105"/>
      <c r="Q161" s="105"/>
    </row>
    <row r="162" spans="1:17" ht="23.25" x14ac:dyDescent="0.35">
      <c r="A162" s="105"/>
      <c r="B162" s="105"/>
      <c r="C162" s="105"/>
      <c r="D162" s="105"/>
      <c r="E162" s="105"/>
      <c r="F162" s="68"/>
      <c r="G162" s="68"/>
      <c r="H162" s="68"/>
      <c r="I162" s="105"/>
      <c r="J162" s="105"/>
      <c r="K162" s="105"/>
      <c r="L162" s="105"/>
      <c r="M162" s="105"/>
      <c r="N162" s="105"/>
      <c r="O162" s="105"/>
      <c r="P162" s="105"/>
      <c r="Q162" s="105"/>
    </row>
    <row r="163" spans="1:17" ht="23.25" x14ac:dyDescent="0.35">
      <c r="A163" s="105"/>
      <c r="B163" s="105"/>
      <c r="C163" s="105"/>
      <c r="D163" s="105"/>
      <c r="E163" s="105"/>
      <c r="F163" s="68"/>
      <c r="G163" s="68"/>
      <c r="H163" s="68"/>
      <c r="I163" s="105"/>
      <c r="J163" s="105"/>
      <c r="K163" s="105"/>
      <c r="L163" s="105"/>
      <c r="M163" s="105"/>
      <c r="N163" s="105"/>
      <c r="O163" s="105"/>
      <c r="P163" s="105"/>
      <c r="Q163" s="105"/>
    </row>
    <row r="164" spans="1:17" ht="23.25" x14ac:dyDescent="0.35">
      <c r="A164" s="105"/>
      <c r="B164" s="105"/>
      <c r="C164" s="105"/>
      <c r="D164" s="105"/>
      <c r="E164" s="105"/>
      <c r="F164" s="68"/>
      <c r="G164" s="68"/>
      <c r="H164" s="68"/>
      <c r="I164" s="105"/>
      <c r="J164" s="105"/>
      <c r="K164" s="105"/>
      <c r="L164" s="105"/>
      <c r="M164" s="105"/>
      <c r="N164" s="105"/>
      <c r="O164" s="105"/>
      <c r="P164" s="105"/>
      <c r="Q164" s="105"/>
    </row>
    <row r="165" spans="1:17" ht="24" thickBot="1" x14ac:dyDescent="0.4">
      <c r="A165" s="105"/>
      <c r="B165" s="105"/>
      <c r="C165" s="105"/>
      <c r="D165" s="105"/>
      <c r="E165" s="105"/>
      <c r="F165" s="68"/>
      <c r="G165" s="68"/>
      <c r="H165" s="68"/>
      <c r="I165" s="105"/>
      <c r="J165" s="105"/>
      <c r="K165" s="105"/>
      <c r="L165" s="105"/>
      <c r="M165" s="105"/>
      <c r="N165" s="105"/>
      <c r="O165" s="105"/>
      <c r="P165" s="105"/>
      <c r="Q165" s="105"/>
    </row>
    <row r="166" spans="1:17" ht="24" thickBot="1" x14ac:dyDescent="0.4">
      <c r="A166" s="208">
        <v>2</v>
      </c>
      <c r="B166" s="209"/>
      <c r="C166" s="209"/>
      <c r="D166" s="209"/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10"/>
    </row>
    <row r="167" spans="1:17" ht="23.25" x14ac:dyDescent="0.35">
      <c r="A167" s="211" t="s">
        <v>1</v>
      </c>
      <c r="B167" s="203"/>
      <c r="C167" s="203"/>
      <c r="D167" s="203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12"/>
    </row>
    <row r="168" spans="1:17" ht="23.25" x14ac:dyDescent="0.3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3"/>
      <c r="Q168" s="4" t="s">
        <v>2</v>
      </c>
    </row>
    <row r="169" spans="1:17" ht="23.25" x14ac:dyDescent="0.35">
      <c r="A169" s="5" t="s">
        <v>3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6"/>
      <c r="P169" s="7" t="s">
        <v>4</v>
      </c>
      <c r="Q169" s="8"/>
    </row>
    <row r="170" spans="1:17" ht="23.25" x14ac:dyDescent="0.35">
      <c r="A170" s="5" t="s">
        <v>5</v>
      </c>
      <c r="B170" s="2"/>
      <c r="C170" s="2">
        <v>5120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9"/>
      <c r="P170" s="10" t="s">
        <v>6</v>
      </c>
      <c r="Q170" s="11"/>
    </row>
    <row r="171" spans="1:17" ht="23.25" x14ac:dyDescent="0.35">
      <c r="A171" s="5" t="s">
        <v>7</v>
      </c>
      <c r="B171" s="9"/>
      <c r="C171" s="9" t="s">
        <v>8</v>
      </c>
      <c r="D171" s="9"/>
      <c r="E171" s="9"/>
      <c r="F171" s="2"/>
      <c r="G171" s="2"/>
      <c r="H171" s="2"/>
      <c r="I171" s="2"/>
      <c r="J171" s="2"/>
      <c r="K171" s="2"/>
      <c r="L171" s="2"/>
      <c r="M171" s="2"/>
      <c r="N171" s="12" t="s">
        <v>133</v>
      </c>
      <c r="O171" s="9"/>
      <c r="P171" s="10" t="s">
        <v>10</v>
      </c>
      <c r="Q171" s="11"/>
    </row>
    <row r="172" spans="1:17" ht="23.25" x14ac:dyDescent="0.35">
      <c r="A172" s="5" t="s">
        <v>11</v>
      </c>
      <c r="B172" s="9">
        <v>2017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9"/>
      <c r="P172" s="13" t="s">
        <v>12</v>
      </c>
      <c r="Q172" s="14"/>
    </row>
    <row r="173" spans="1:17" ht="24" thickBot="1" x14ac:dyDescent="0.4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106"/>
    </row>
    <row r="174" spans="1:17" ht="23.25" x14ac:dyDescent="0.35">
      <c r="A174" s="213" t="s">
        <v>13</v>
      </c>
      <c r="B174" s="214"/>
      <c r="C174" s="214"/>
      <c r="D174" s="214"/>
      <c r="E174" s="214"/>
      <c r="F174" s="214"/>
      <c r="G174" s="214"/>
      <c r="H174" s="214"/>
      <c r="I174" s="214"/>
      <c r="J174" s="214"/>
      <c r="K174" s="214"/>
      <c r="L174" s="214"/>
      <c r="M174" s="19"/>
      <c r="N174" s="19"/>
      <c r="O174" s="226" t="s">
        <v>14</v>
      </c>
      <c r="P174" s="214"/>
      <c r="Q174" s="227"/>
    </row>
    <row r="175" spans="1:17" ht="24" thickBot="1" x14ac:dyDescent="0.4">
      <c r="A175" s="107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108"/>
      <c r="P175" s="2"/>
      <c r="Q175" s="106"/>
    </row>
    <row r="176" spans="1:17" ht="23.25" x14ac:dyDescent="0.35">
      <c r="A176" s="228">
        <v>2</v>
      </c>
      <c r="B176" s="229"/>
      <c r="C176" s="229"/>
      <c r="D176" s="229"/>
      <c r="E176" s="229"/>
      <c r="F176" s="229"/>
      <c r="G176" s="230"/>
      <c r="H176" s="24" t="s">
        <v>15</v>
      </c>
      <c r="I176" s="25"/>
      <c r="J176" s="25"/>
      <c r="K176" s="25"/>
      <c r="L176" s="25"/>
      <c r="M176" s="25"/>
      <c r="N176" s="25"/>
      <c r="O176" s="26" t="s">
        <v>16</v>
      </c>
      <c r="P176" s="27" t="s">
        <v>17</v>
      </c>
      <c r="Q176" s="28" t="s">
        <v>18</v>
      </c>
    </row>
    <row r="177" spans="1:17" ht="23.25" x14ac:dyDescent="0.3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1"/>
      <c r="P177" s="109"/>
      <c r="Q177" s="106"/>
    </row>
    <row r="178" spans="1:17" ht="23.25" x14ac:dyDescent="0.35">
      <c r="A178" s="231" t="s">
        <v>19</v>
      </c>
      <c r="B178" s="29" t="s">
        <v>20</v>
      </c>
      <c r="C178" s="217" t="s">
        <v>21</v>
      </c>
      <c r="D178" s="29" t="s">
        <v>22</v>
      </c>
      <c r="E178" s="29" t="s">
        <v>23</v>
      </c>
      <c r="F178" s="217" t="s">
        <v>24</v>
      </c>
      <c r="G178" s="217" t="s">
        <v>25</v>
      </c>
      <c r="H178" s="217" t="s">
        <v>26</v>
      </c>
      <c r="I178" s="217" t="s">
        <v>27</v>
      </c>
      <c r="J178" s="29"/>
      <c r="K178" s="29" t="s">
        <v>20</v>
      </c>
      <c r="L178" s="29"/>
      <c r="M178" s="29"/>
      <c r="N178" s="30"/>
      <c r="O178" s="196">
        <v>3</v>
      </c>
      <c r="P178" s="235">
        <v>4</v>
      </c>
      <c r="Q178" s="236">
        <v>5</v>
      </c>
    </row>
    <row r="179" spans="1:17" ht="24" thickBot="1" x14ac:dyDescent="0.4">
      <c r="A179" s="200"/>
      <c r="B179" s="110" t="s">
        <v>19</v>
      </c>
      <c r="C179" s="202"/>
      <c r="D179" s="110" t="s">
        <v>28</v>
      </c>
      <c r="E179" s="110" t="s">
        <v>29</v>
      </c>
      <c r="F179" s="202"/>
      <c r="G179" s="202"/>
      <c r="H179" s="202"/>
      <c r="I179" s="202"/>
      <c r="J179" s="110" t="s">
        <v>30</v>
      </c>
      <c r="K179" s="31" t="s">
        <v>30</v>
      </c>
      <c r="L179" s="110" t="s">
        <v>31</v>
      </c>
      <c r="M179" s="110" t="s">
        <v>31</v>
      </c>
      <c r="N179" s="111" t="s">
        <v>32</v>
      </c>
      <c r="O179" s="189"/>
      <c r="P179" s="191"/>
      <c r="Q179" s="193"/>
    </row>
    <row r="180" spans="1:17" ht="23.25" x14ac:dyDescent="0.35">
      <c r="A180" s="112"/>
      <c r="B180" s="113"/>
      <c r="C180" s="112"/>
      <c r="D180" s="113"/>
      <c r="E180" s="112"/>
      <c r="F180" s="112"/>
      <c r="G180" s="113"/>
      <c r="H180" s="112"/>
      <c r="I180" s="113"/>
      <c r="J180" s="112"/>
      <c r="K180" s="12"/>
      <c r="L180" s="112"/>
      <c r="M180" s="112"/>
      <c r="N180" s="113"/>
      <c r="O180" s="114"/>
      <c r="P180" s="115"/>
      <c r="Q180" s="116"/>
    </row>
    <row r="181" spans="1:17" ht="23.25" x14ac:dyDescent="0.35">
      <c r="A181" s="117"/>
      <c r="B181" s="12"/>
      <c r="C181" s="117"/>
      <c r="D181" s="12"/>
      <c r="E181" s="117"/>
      <c r="F181" s="117"/>
      <c r="G181" s="12"/>
      <c r="H181" s="118">
        <v>2</v>
      </c>
      <c r="I181" s="119">
        <v>1</v>
      </c>
      <c r="J181" s="118"/>
      <c r="K181" s="119"/>
      <c r="L181" s="118"/>
      <c r="M181" s="118"/>
      <c r="N181" s="47" t="s">
        <v>35</v>
      </c>
      <c r="O181" s="120">
        <f>+P181-Q181</f>
        <v>13085.540000000037</v>
      </c>
      <c r="P181" s="121">
        <f>+P183+P186+P189</f>
        <v>1147972</v>
      </c>
      <c r="Q181" s="120">
        <f>+Q183+Q186+Q189</f>
        <v>1134886.46</v>
      </c>
    </row>
    <row r="182" spans="1:17" ht="23.25" x14ac:dyDescent="0.35">
      <c r="A182" s="117"/>
      <c r="B182" s="12"/>
      <c r="C182" s="117"/>
      <c r="D182" s="12"/>
      <c r="E182" s="117"/>
      <c r="F182" s="117"/>
      <c r="G182" s="12"/>
      <c r="H182" s="118"/>
      <c r="I182" s="119"/>
      <c r="J182" s="118"/>
      <c r="K182" s="119"/>
      <c r="L182" s="118"/>
      <c r="M182" s="118"/>
      <c r="N182" s="12"/>
      <c r="O182" s="122"/>
      <c r="P182" s="123"/>
      <c r="Q182" s="120"/>
    </row>
    <row r="183" spans="1:17" ht="23.25" x14ac:dyDescent="0.35">
      <c r="A183" s="117"/>
      <c r="B183" s="2" t="s">
        <v>33</v>
      </c>
      <c r="C183" s="44" t="s">
        <v>33</v>
      </c>
      <c r="D183" s="2"/>
      <c r="E183" s="44" t="s">
        <v>34</v>
      </c>
      <c r="F183" s="44" t="s">
        <v>36</v>
      </c>
      <c r="G183" s="12"/>
      <c r="H183" s="46">
        <v>2</v>
      </c>
      <c r="I183" s="47">
        <v>1</v>
      </c>
      <c r="J183" s="46">
        <v>1</v>
      </c>
      <c r="K183" s="47"/>
      <c r="L183" s="46"/>
      <c r="M183" s="46"/>
      <c r="N183" s="47" t="s">
        <v>37</v>
      </c>
      <c r="O183" s="122"/>
      <c r="P183" s="121">
        <f>+P184</f>
        <v>1044080</v>
      </c>
      <c r="Q183" s="120">
        <f>+Q184</f>
        <v>1044080</v>
      </c>
    </row>
    <row r="184" spans="1:17" ht="23.25" x14ac:dyDescent="0.35">
      <c r="A184" s="117"/>
      <c r="B184" s="12"/>
      <c r="C184" s="117"/>
      <c r="D184" s="12"/>
      <c r="E184" s="117"/>
      <c r="F184" s="117"/>
      <c r="G184" s="45">
        <v>100</v>
      </c>
      <c r="H184" s="124">
        <v>2</v>
      </c>
      <c r="I184" s="125">
        <v>1</v>
      </c>
      <c r="J184" s="124">
        <v>1</v>
      </c>
      <c r="K184" s="125">
        <v>1</v>
      </c>
      <c r="L184" s="124">
        <v>0</v>
      </c>
      <c r="M184" s="124">
        <v>1</v>
      </c>
      <c r="N184" s="3" t="s">
        <v>134</v>
      </c>
      <c r="O184" s="122"/>
      <c r="P184" s="126">
        <f>247000+797080</f>
        <v>1044080</v>
      </c>
      <c r="Q184" s="127">
        <f>247000+797080</f>
        <v>1044080</v>
      </c>
    </row>
    <row r="185" spans="1:17" ht="23.25" x14ac:dyDescent="0.35">
      <c r="A185" s="117"/>
      <c r="B185" s="12"/>
      <c r="C185" s="117"/>
      <c r="D185" s="12"/>
      <c r="E185" s="117"/>
      <c r="F185" s="117"/>
      <c r="G185" s="45"/>
      <c r="H185" s="124"/>
      <c r="I185" s="125"/>
      <c r="J185" s="124"/>
      <c r="K185" s="125"/>
      <c r="L185" s="124"/>
      <c r="M185" s="124"/>
      <c r="N185" s="3"/>
      <c r="O185" s="122"/>
      <c r="P185" s="126"/>
      <c r="Q185" s="127"/>
    </row>
    <row r="186" spans="1:17" ht="23.25" x14ac:dyDescent="0.35">
      <c r="A186" s="117"/>
      <c r="B186" s="12"/>
      <c r="C186" s="117"/>
      <c r="D186" s="12"/>
      <c r="E186" s="117"/>
      <c r="F186" s="117"/>
      <c r="G186" s="45"/>
      <c r="H186" s="118">
        <v>2</v>
      </c>
      <c r="I186" s="119">
        <v>1</v>
      </c>
      <c r="J186" s="118">
        <v>2</v>
      </c>
      <c r="K186" s="125"/>
      <c r="L186" s="124"/>
      <c r="M186" s="124"/>
      <c r="N186" s="6" t="s">
        <v>135</v>
      </c>
      <c r="O186" s="122"/>
      <c r="P186" s="121">
        <f>+P187</f>
        <v>98892</v>
      </c>
      <c r="Q186" s="120">
        <f>+Q187</f>
        <v>86306.46</v>
      </c>
    </row>
    <row r="187" spans="1:17" ht="23.25" x14ac:dyDescent="0.35">
      <c r="A187" s="117"/>
      <c r="B187" s="12"/>
      <c r="C187" s="117"/>
      <c r="D187" s="12"/>
      <c r="E187" s="117"/>
      <c r="F187" s="117"/>
      <c r="G187" s="45">
        <v>9995</v>
      </c>
      <c r="H187" s="124">
        <v>2</v>
      </c>
      <c r="I187" s="125">
        <v>1</v>
      </c>
      <c r="J187" s="124">
        <v>2</v>
      </c>
      <c r="K187" s="125">
        <v>2</v>
      </c>
      <c r="L187" s="124">
        <v>0</v>
      </c>
      <c r="M187" s="124">
        <v>8</v>
      </c>
      <c r="N187" s="3" t="s">
        <v>45</v>
      </c>
      <c r="O187" s="122"/>
      <c r="P187" s="126">
        <v>98892</v>
      </c>
      <c r="Q187" s="127">
        <v>86306.46</v>
      </c>
    </row>
    <row r="188" spans="1:17" ht="23.25" x14ac:dyDescent="0.35">
      <c r="A188" s="117"/>
      <c r="B188" s="12"/>
      <c r="C188" s="117"/>
      <c r="D188" s="12"/>
      <c r="E188" s="117"/>
      <c r="F188" s="117"/>
      <c r="G188" s="45"/>
      <c r="H188" s="124"/>
      <c r="I188" s="125"/>
      <c r="J188" s="124"/>
      <c r="K188" s="125"/>
      <c r="L188" s="124"/>
      <c r="M188" s="124"/>
      <c r="N188" s="3"/>
      <c r="O188" s="122"/>
      <c r="P188" s="126"/>
      <c r="Q188" s="127"/>
    </row>
    <row r="189" spans="1:17" ht="23.25" x14ac:dyDescent="0.35">
      <c r="A189" s="117"/>
      <c r="B189" s="12"/>
      <c r="C189" s="117"/>
      <c r="D189" s="12"/>
      <c r="E189" s="117"/>
      <c r="F189" s="117"/>
      <c r="G189" s="45"/>
      <c r="H189" s="118">
        <v>2</v>
      </c>
      <c r="I189" s="119">
        <v>1</v>
      </c>
      <c r="J189" s="118">
        <v>4</v>
      </c>
      <c r="K189" s="125"/>
      <c r="L189" s="124"/>
      <c r="M189" s="124"/>
      <c r="N189" s="6" t="s">
        <v>136</v>
      </c>
      <c r="O189" s="122"/>
      <c r="P189" s="121">
        <f>+P190</f>
        <v>5000</v>
      </c>
      <c r="Q189" s="120">
        <f>+Q190</f>
        <v>4500</v>
      </c>
    </row>
    <row r="190" spans="1:17" ht="23.25" x14ac:dyDescent="0.35">
      <c r="A190" s="117"/>
      <c r="B190" s="12"/>
      <c r="C190" s="117"/>
      <c r="D190" s="12"/>
      <c r="E190" s="117"/>
      <c r="F190" s="117"/>
      <c r="G190" s="45">
        <v>9995</v>
      </c>
      <c r="H190" s="124">
        <v>2</v>
      </c>
      <c r="I190" s="125">
        <v>1</v>
      </c>
      <c r="J190" s="124">
        <v>4</v>
      </c>
      <c r="K190" s="125">
        <v>2</v>
      </c>
      <c r="L190" s="124">
        <v>0</v>
      </c>
      <c r="M190" s="124">
        <v>2</v>
      </c>
      <c r="N190" s="3" t="s">
        <v>137</v>
      </c>
      <c r="O190" s="122"/>
      <c r="P190" s="126">
        <v>5000</v>
      </c>
      <c r="Q190" s="127">
        <v>4500</v>
      </c>
    </row>
    <row r="191" spans="1:17" ht="23.25" x14ac:dyDescent="0.35">
      <c r="A191" s="117"/>
      <c r="B191" s="12"/>
      <c r="C191" s="117"/>
      <c r="D191" s="12"/>
      <c r="E191" s="117"/>
      <c r="F191" s="117"/>
      <c r="G191" s="45"/>
      <c r="H191" s="124"/>
      <c r="I191" s="125"/>
      <c r="J191" s="124"/>
      <c r="K191" s="125"/>
      <c r="L191" s="124"/>
      <c r="M191" s="124"/>
      <c r="N191" s="3"/>
      <c r="O191" s="122"/>
      <c r="P191" s="126"/>
      <c r="Q191" s="127"/>
    </row>
    <row r="192" spans="1:17" ht="23.25" x14ac:dyDescent="0.35">
      <c r="A192" s="117"/>
      <c r="B192" s="12"/>
      <c r="C192" s="117"/>
      <c r="D192" s="12"/>
      <c r="E192" s="117"/>
      <c r="F192" s="117"/>
      <c r="G192" s="45"/>
      <c r="H192" s="118">
        <v>2</v>
      </c>
      <c r="I192" s="119">
        <v>2</v>
      </c>
      <c r="J192" s="118"/>
      <c r="K192" s="125"/>
      <c r="L192" s="124"/>
      <c r="M192" s="124"/>
      <c r="N192" s="6" t="s">
        <v>138</v>
      </c>
      <c r="O192" s="120">
        <f>+P192-Q192</f>
        <v>132159.99999999997</v>
      </c>
      <c r="P192" s="121">
        <f>+P194+P197+P200+P205</f>
        <v>340196.08999999997</v>
      </c>
      <c r="Q192" s="120">
        <f>+Q194+Q197+Q200+Q205</f>
        <v>208036.09</v>
      </c>
    </row>
    <row r="193" spans="1:17" ht="23.25" x14ac:dyDescent="0.35">
      <c r="A193" s="117"/>
      <c r="B193" s="12"/>
      <c r="C193" s="117"/>
      <c r="D193" s="12"/>
      <c r="E193" s="117"/>
      <c r="F193" s="117"/>
      <c r="G193" s="45"/>
      <c r="H193" s="118"/>
      <c r="I193" s="119"/>
      <c r="J193" s="118"/>
      <c r="K193" s="125"/>
      <c r="L193" s="124"/>
      <c r="M193" s="124"/>
      <c r="N193" s="3"/>
      <c r="O193" s="122"/>
      <c r="P193" s="126"/>
      <c r="Q193" s="127"/>
    </row>
    <row r="194" spans="1:17" ht="23.25" x14ac:dyDescent="0.35">
      <c r="A194" s="117"/>
      <c r="B194" s="12"/>
      <c r="C194" s="117"/>
      <c r="D194" s="12"/>
      <c r="E194" s="117"/>
      <c r="F194" s="117"/>
      <c r="G194" s="45"/>
      <c r="H194" s="118">
        <v>2</v>
      </c>
      <c r="I194" s="119">
        <v>2</v>
      </c>
      <c r="J194" s="118">
        <v>1</v>
      </c>
      <c r="K194" s="125"/>
      <c r="L194" s="124"/>
      <c r="M194" s="124"/>
      <c r="N194" s="6" t="s">
        <v>139</v>
      </c>
      <c r="O194" s="122"/>
      <c r="P194" s="121">
        <f>+P195</f>
        <v>1616.65</v>
      </c>
      <c r="Q194" s="120">
        <f>+Q195</f>
        <v>1616.65</v>
      </c>
    </row>
    <row r="195" spans="1:17" ht="23.25" x14ac:dyDescent="0.35">
      <c r="A195" s="117"/>
      <c r="B195" s="12"/>
      <c r="C195" s="117"/>
      <c r="D195" s="12"/>
      <c r="E195" s="117"/>
      <c r="F195" s="117"/>
      <c r="G195" s="45">
        <v>9995</v>
      </c>
      <c r="H195" s="124">
        <v>2</v>
      </c>
      <c r="I195" s="125">
        <v>2</v>
      </c>
      <c r="J195" s="124">
        <v>1</v>
      </c>
      <c r="K195" s="125">
        <v>3</v>
      </c>
      <c r="L195" s="124">
        <v>0</v>
      </c>
      <c r="M195" s="124">
        <v>1</v>
      </c>
      <c r="N195" s="3" t="s">
        <v>140</v>
      </c>
      <c r="O195" s="122"/>
      <c r="P195" s="126">
        <v>1616.65</v>
      </c>
      <c r="Q195" s="127">
        <v>1616.65</v>
      </c>
    </row>
    <row r="196" spans="1:17" ht="23.25" x14ac:dyDescent="0.35">
      <c r="A196" s="117"/>
      <c r="B196" s="12"/>
      <c r="C196" s="117"/>
      <c r="D196" s="12"/>
      <c r="E196" s="117"/>
      <c r="F196" s="117"/>
      <c r="G196" s="45"/>
      <c r="H196" s="124"/>
      <c r="I196" s="125"/>
      <c r="J196" s="124"/>
      <c r="K196" s="125"/>
      <c r="L196" s="124"/>
      <c r="M196" s="124"/>
      <c r="N196" s="3"/>
      <c r="O196" s="122"/>
      <c r="P196" s="126"/>
      <c r="Q196" s="127"/>
    </row>
    <row r="197" spans="1:17" ht="23.25" x14ac:dyDescent="0.35">
      <c r="A197" s="117"/>
      <c r="B197" s="12"/>
      <c r="C197" s="117"/>
      <c r="D197" s="12"/>
      <c r="E197" s="117"/>
      <c r="F197" s="117"/>
      <c r="G197" s="45"/>
      <c r="H197" s="118">
        <v>2</v>
      </c>
      <c r="I197" s="119">
        <v>2</v>
      </c>
      <c r="J197" s="118">
        <v>3</v>
      </c>
      <c r="K197" s="125"/>
      <c r="L197" s="124"/>
      <c r="M197" s="124"/>
      <c r="N197" s="6" t="s">
        <v>63</v>
      </c>
      <c r="O197" s="122"/>
      <c r="P197" s="121">
        <f>+P198</f>
        <v>123800</v>
      </c>
      <c r="Q197" s="120">
        <f>+Q198</f>
        <v>123800</v>
      </c>
    </row>
    <row r="198" spans="1:17" ht="23.25" x14ac:dyDescent="0.35">
      <c r="A198" s="117"/>
      <c r="B198" s="12"/>
      <c r="C198" s="117"/>
      <c r="D198" s="12"/>
      <c r="E198" s="117"/>
      <c r="F198" s="117"/>
      <c r="G198" s="45">
        <v>9995</v>
      </c>
      <c r="H198" s="124">
        <v>2</v>
      </c>
      <c r="I198" s="125">
        <v>2</v>
      </c>
      <c r="J198" s="124">
        <v>3</v>
      </c>
      <c r="K198" s="125">
        <v>1</v>
      </c>
      <c r="L198" s="124">
        <v>0</v>
      </c>
      <c r="M198" s="124">
        <v>1</v>
      </c>
      <c r="N198" s="3" t="s">
        <v>64</v>
      </c>
      <c r="O198" s="122"/>
      <c r="P198" s="126">
        <f>2400+3800+4800+10800+8800+5400+8800+10800+8800+8800+5400+3100+3100+3100+2100+5400+8800+8800+10800</f>
        <v>123800</v>
      </c>
      <c r="Q198" s="127">
        <f>2400+3800+4800+10800+8800+5400+8800+10800+8800+8800+5400+3100+3100+3100+2100+5400+8800+8800+10800</f>
        <v>123800</v>
      </c>
    </row>
    <row r="199" spans="1:17" ht="23.25" x14ac:dyDescent="0.35">
      <c r="A199" s="117"/>
      <c r="B199" s="12"/>
      <c r="C199" s="117"/>
      <c r="D199" s="12"/>
      <c r="E199" s="117"/>
      <c r="F199" s="117"/>
      <c r="G199" s="45"/>
      <c r="H199" s="124"/>
      <c r="I199" s="125"/>
      <c r="J199" s="124"/>
      <c r="K199" s="125"/>
      <c r="L199" s="124"/>
      <c r="M199" s="124"/>
      <c r="N199" s="3"/>
      <c r="O199" s="122"/>
      <c r="P199" s="126"/>
      <c r="Q199" s="127"/>
    </row>
    <row r="200" spans="1:17" ht="23.25" x14ac:dyDescent="0.35">
      <c r="A200" s="117"/>
      <c r="B200" s="12"/>
      <c r="C200" s="117"/>
      <c r="D200" s="12"/>
      <c r="E200" s="117"/>
      <c r="F200" s="117"/>
      <c r="G200" s="45"/>
      <c r="H200" s="118">
        <v>2</v>
      </c>
      <c r="I200" s="119">
        <v>2</v>
      </c>
      <c r="J200" s="118">
        <v>4</v>
      </c>
      <c r="K200" s="125"/>
      <c r="L200" s="124"/>
      <c r="M200" s="124"/>
      <c r="N200" s="6" t="s">
        <v>65</v>
      </c>
      <c r="O200" s="122"/>
      <c r="P200" s="121">
        <f>+P201+P202+P203</f>
        <v>9119.4399999999987</v>
      </c>
      <c r="Q200" s="120">
        <f>+Q201+Q202+Q203</f>
        <v>9119.4399999999987</v>
      </c>
    </row>
    <row r="201" spans="1:17" ht="23.25" x14ac:dyDescent="0.35">
      <c r="A201" s="117"/>
      <c r="B201" s="12"/>
      <c r="C201" s="117"/>
      <c r="D201" s="12"/>
      <c r="E201" s="117"/>
      <c r="F201" s="117"/>
      <c r="G201" s="45">
        <v>9995</v>
      </c>
      <c r="H201" s="124">
        <v>2</v>
      </c>
      <c r="I201" s="125">
        <v>2</v>
      </c>
      <c r="J201" s="124">
        <v>4</v>
      </c>
      <c r="K201" s="125">
        <v>4</v>
      </c>
      <c r="L201" s="124">
        <v>0</v>
      </c>
      <c r="M201" s="124">
        <v>1</v>
      </c>
      <c r="N201" s="3" t="s">
        <v>67</v>
      </c>
      <c r="O201" s="122"/>
      <c r="P201" s="126">
        <f>60+60+60+60+60</f>
        <v>300</v>
      </c>
      <c r="Q201" s="127">
        <f>60+60+60+60+60</f>
        <v>300</v>
      </c>
    </row>
    <row r="202" spans="1:17" ht="23.25" x14ac:dyDescent="0.35">
      <c r="A202" s="117"/>
      <c r="B202" s="12"/>
      <c r="C202" s="117"/>
      <c r="D202" s="12"/>
      <c r="E202" s="117"/>
      <c r="F202" s="117"/>
      <c r="G202" s="45">
        <v>9995</v>
      </c>
      <c r="H202" s="124">
        <v>2</v>
      </c>
      <c r="I202" s="125">
        <v>2</v>
      </c>
      <c r="J202" s="124">
        <v>4</v>
      </c>
      <c r="K202" s="125">
        <v>2</v>
      </c>
      <c r="L202" s="124">
        <v>0</v>
      </c>
      <c r="M202" s="124">
        <v>1</v>
      </c>
      <c r="N202" s="3" t="s">
        <v>141</v>
      </c>
      <c r="O202" s="122"/>
      <c r="P202" s="126">
        <f>8750-5000+4109.44</f>
        <v>7859.44</v>
      </c>
      <c r="Q202" s="127">
        <f>8750-5000+4109.44</f>
        <v>7859.44</v>
      </c>
    </row>
    <row r="203" spans="1:17" ht="23.25" x14ac:dyDescent="0.35">
      <c r="A203" s="117"/>
      <c r="B203" s="12"/>
      <c r="C203" s="117"/>
      <c r="D203" s="12"/>
      <c r="E203" s="117"/>
      <c r="F203" s="117"/>
      <c r="G203" s="45">
        <v>9995</v>
      </c>
      <c r="H203" s="124">
        <v>2</v>
      </c>
      <c r="I203" s="125">
        <v>2</v>
      </c>
      <c r="J203" s="124">
        <v>4</v>
      </c>
      <c r="K203" s="125">
        <v>1</v>
      </c>
      <c r="L203" s="124">
        <v>0</v>
      </c>
      <c r="M203" s="124">
        <v>1</v>
      </c>
      <c r="N203" s="3" t="s">
        <v>142</v>
      </c>
      <c r="O203" s="122"/>
      <c r="P203" s="126">
        <v>960</v>
      </c>
      <c r="Q203" s="127">
        <v>960</v>
      </c>
    </row>
    <row r="204" spans="1:17" ht="23.25" x14ac:dyDescent="0.35">
      <c r="A204" s="117"/>
      <c r="B204" s="12"/>
      <c r="C204" s="117"/>
      <c r="D204" s="12"/>
      <c r="E204" s="117"/>
      <c r="F204" s="117"/>
      <c r="G204" s="45"/>
      <c r="H204" s="124"/>
      <c r="I204" s="125"/>
      <c r="J204" s="124"/>
      <c r="K204" s="125"/>
      <c r="L204" s="124"/>
      <c r="M204" s="124"/>
      <c r="N204" s="3"/>
      <c r="O204" s="122"/>
      <c r="P204" s="126"/>
      <c r="Q204" s="127"/>
    </row>
    <row r="205" spans="1:17" ht="23.25" x14ac:dyDescent="0.35">
      <c r="A205" s="117"/>
      <c r="B205" s="12"/>
      <c r="C205" s="117"/>
      <c r="D205" s="12"/>
      <c r="E205" s="117"/>
      <c r="F205" s="117"/>
      <c r="G205" s="45"/>
      <c r="H205" s="118">
        <v>2</v>
      </c>
      <c r="I205" s="119">
        <v>2</v>
      </c>
      <c r="J205" s="118">
        <v>8</v>
      </c>
      <c r="K205" s="125"/>
      <c r="L205" s="124"/>
      <c r="M205" s="124"/>
      <c r="N205" s="6" t="s">
        <v>76</v>
      </c>
      <c r="O205" s="122"/>
      <c r="P205" s="121">
        <f>+P206</f>
        <v>205660</v>
      </c>
      <c r="Q205" s="120">
        <f>+Q206</f>
        <v>73500</v>
      </c>
    </row>
    <row r="206" spans="1:17" ht="23.25" x14ac:dyDescent="0.35">
      <c r="A206" s="117"/>
      <c r="B206" s="12"/>
      <c r="C206" s="117"/>
      <c r="D206" s="12"/>
      <c r="E206" s="117"/>
      <c r="F206" s="117"/>
      <c r="G206" s="45">
        <v>9995</v>
      </c>
      <c r="H206" s="124">
        <v>2</v>
      </c>
      <c r="I206" s="125">
        <v>2</v>
      </c>
      <c r="J206" s="124">
        <v>8</v>
      </c>
      <c r="K206" s="125">
        <v>7</v>
      </c>
      <c r="L206" s="124">
        <v>0</v>
      </c>
      <c r="M206" s="124">
        <v>6</v>
      </c>
      <c r="N206" s="3" t="s">
        <v>81</v>
      </c>
      <c r="O206" s="122"/>
      <c r="P206" s="126">
        <f>73500+132160</f>
        <v>205660</v>
      </c>
      <c r="Q206" s="127">
        <v>73500</v>
      </c>
    </row>
    <row r="207" spans="1:17" ht="23.25" x14ac:dyDescent="0.35">
      <c r="A207" s="117"/>
      <c r="B207" s="2"/>
      <c r="C207" s="44"/>
      <c r="D207" s="12"/>
      <c r="E207" s="44"/>
      <c r="F207" s="44"/>
      <c r="G207" s="45"/>
      <c r="H207" s="52"/>
      <c r="I207" s="53"/>
      <c r="J207" s="52"/>
      <c r="K207" s="53"/>
      <c r="L207" s="52"/>
      <c r="M207" s="52"/>
      <c r="N207" s="53"/>
      <c r="O207" s="127"/>
      <c r="P207" s="126"/>
      <c r="Q207" s="127"/>
    </row>
    <row r="208" spans="1:17" ht="23.25" x14ac:dyDescent="0.35">
      <c r="A208" s="117"/>
      <c r="B208" s="2" t="s">
        <v>33</v>
      </c>
      <c r="C208" s="44" t="s">
        <v>33</v>
      </c>
      <c r="D208" s="2"/>
      <c r="E208" s="44" t="s">
        <v>34</v>
      </c>
      <c r="F208" s="44" t="s">
        <v>36</v>
      </c>
      <c r="G208" s="45"/>
      <c r="H208" s="46">
        <v>2</v>
      </c>
      <c r="I208" s="47">
        <v>3</v>
      </c>
      <c r="J208" s="52"/>
      <c r="K208" s="53"/>
      <c r="L208" s="52"/>
      <c r="M208" s="52"/>
      <c r="N208" s="47" t="s">
        <v>143</v>
      </c>
      <c r="O208" s="120">
        <f>+P208-Q208</f>
        <v>159409.27000000002</v>
      </c>
      <c r="P208" s="121">
        <f>+P210+P213+P216+P221+P227</f>
        <v>208979.77000000002</v>
      </c>
      <c r="Q208" s="120">
        <f>+Q210+Q213+Q216+Q221</f>
        <v>49570.5</v>
      </c>
    </row>
    <row r="209" spans="1:17" ht="23.25" x14ac:dyDescent="0.35">
      <c r="A209" s="117"/>
      <c r="B209" s="2"/>
      <c r="C209" s="44"/>
      <c r="D209" s="2"/>
      <c r="E209" s="44"/>
      <c r="F209" s="44"/>
      <c r="G209" s="45"/>
      <c r="H209" s="46"/>
      <c r="I209" s="47"/>
      <c r="J209" s="52"/>
      <c r="K209" s="53"/>
      <c r="L209" s="52"/>
      <c r="M209" s="52"/>
      <c r="N209" s="47"/>
      <c r="O209" s="120"/>
      <c r="P209" s="121"/>
      <c r="Q209" s="120"/>
    </row>
    <row r="210" spans="1:17" ht="23.25" x14ac:dyDescent="0.35">
      <c r="A210" s="117"/>
      <c r="B210" s="2"/>
      <c r="C210" s="44"/>
      <c r="D210" s="2"/>
      <c r="E210" s="44"/>
      <c r="F210" s="44"/>
      <c r="G210" s="45"/>
      <c r="H210" s="46">
        <v>2</v>
      </c>
      <c r="I210" s="47">
        <v>3</v>
      </c>
      <c r="J210" s="46">
        <v>1</v>
      </c>
      <c r="K210" s="53"/>
      <c r="L210" s="52"/>
      <c r="M210" s="52"/>
      <c r="N210" s="47" t="s">
        <v>144</v>
      </c>
      <c r="O210" s="120"/>
      <c r="P210" s="121">
        <f>+P211</f>
        <v>65183.74</v>
      </c>
      <c r="Q210" s="120">
        <f>+Q211</f>
        <v>195</v>
      </c>
    </row>
    <row r="211" spans="1:17" ht="23.25" x14ac:dyDescent="0.35">
      <c r="A211" s="117"/>
      <c r="B211" s="2"/>
      <c r="C211" s="44"/>
      <c r="D211" s="2"/>
      <c r="E211" s="44"/>
      <c r="F211" s="44"/>
      <c r="G211" s="45">
        <v>9995</v>
      </c>
      <c r="H211" s="52">
        <v>2</v>
      </c>
      <c r="I211" s="53">
        <v>3</v>
      </c>
      <c r="J211" s="52">
        <v>1</v>
      </c>
      <c r="K211" s="53">
        <v>1</v>
      </c>
      <c r="L211" s="52">
        <v>0</v>
      </c>
      <c r="M211" s="52">
        <v>1</v>
      </c>
      <c r="N211" s="53" t="s">
        <v>145</v>
      </c>
      <c r="O211" s="120"/>
      <c r="P211" s="126">
        <f>195+32779.35+32209.39</f>
        <v>65183.74</v>
      </c>
      <c r="Q211" s="127">
        <v>195</v>
      </c>
    </row>
    <row r="212" spans="1:17" ht="23.25" x14ac:dyDescent="0.35">
      <c r="A212" s="117"/>
      <c r="B212" s="2"/>
      <c r="C212" s="44"/>
      <c r="D212" s="2"/>
      <c r="E212" s="44"/>
      <c r="F212" s="44"/>
      <c r="G212" s="45"/>
      <c r="H212" s="52"/>
      <c r="I212" s="53"/>
      <c r="J212" s="52"/>
      <c r="K212" s="53"/>
      <c r="L212" s="52"/>
      <c r="M212" s="52"/>
      <c r="N212" s="53"/>
      <c r="O212" s="120"/>
      <c r="P212" s="126"/>
      <c r="Q212" s="127"/>
    </row>
    <row r="213" spans="1:17" ht="23.25" x14ac:dyDescent="0.35">
      <c r="A213" s="117"/>
      <c r="B213" s="2"/>
      <c r="C213" s="44"/>
      <c r="D213" s="2"/>
      <c r="E213" s="44"/>
      <c r="F213" s="44"/>
      <c r="G213" s="45"/>
      <c r="H213" s="46">
        <v>2</v>
      </c>
      <c r="I213" s="47">
        <v>3</v>
      </c>
      <c r="J213" s="46">
        <v>5</v>
      </c>
      <c r="K213" s="53"/>
      <c r="L213" s="52"/>
      <c r="M213" s="52"/>
      <c r="N213" s="47" t="s">
        <v>146</v>
      </c>
      <c r="O213" s="120"/>
      <c r="P213" s="121">
        <f>+P214</f>
        <v>40650.800000000003</v>
      </c>
      <c r="Q213" s="120">
        <f>+Q214</f>
        <v>1356</v>
      </c>
    </row>
    <row r="214" spans="1:17" ht="23.25" x14ac:dyDescent="0.35">
      <c r="A214" s="117"/>
      <c r="B214" s="2"/>
      <c r="C214" s="44"/>
      <c r="D214" s="2"/>
      <c r="E214" s="44"/>
      <c r="F214" s="44"/>
      <c r="G214" s="45">
        <v>9995</v>
      </c>
      <c r="H214" s="46">
        <v>2</v>
      </c>
      <c r="I214" s="47">
        <v>3</v>
      </c>
      <c r="J214" s="46">
        <v>5</v>
      </c>
      <c r="K214" s="53">
        <v>5</v>
      </c>
      <c r="L214" s="52">
        <v>0</v>
      </c>
      <c r="M214" s="52">
        <v>1</v>
      </c>
      <c r="N214" s="53" t="s">
        <v>147</v>
      </c>
      <c r="O214" s="120"/>
      <c r="P214" s="126">
        <f>1416+39234.8</f>
        <v>40650.800000000003</v>
      </c>
      <c r="Q214" s="127">
        <v>1356</v>
      </c>
    </row>
    <row r="215" spans="1:17" ht="23.25" x14ac:dyDescent="0.35">
      <c r="A215" s="117"/>
      <c r="B215" s="2"/>
      <c r="C215" s="44"/>
      <c r="D215" s="12"/>
      <c r="E215" s="44"/>
      <c r="F215" s="44"/>
      <c r="G215" s="45"/>
      <c r="H215" s="52"/>
      <c r="I215" s="53"/>
      <c r="J215" s="52"/>
      <c r="K215" s="53"/>
      <c r="L215" s="52"/>
      <c r="M215" s="52"/>
      <c r="N215" s="53"/>
      <c r="O215" s="127"/>
      <c r="P215" s="126"/>
      <c r="Q215" s="127"/>
    </row>
    <row r="216" spans="1:17" ht="23.25" x14ac:dyDescent="0.35">
      <c r="A216" s="117"/>
      <c r="B216" s="2"/>
      <c r="C216" s="44"/>
      <c r="D216" s="12"/>
      <c r="E216" s="44"/>
      <c r="F216" s="44"/>
      <c r="G216" s="45"/>
      <c r="H216" s="46">
        <v>2</v>
      </c>
      <c r="I216" s="47">
        <v>3</v>
      </c>
      <c r="J216" s="46">
        <v>6</v>
      </c>
      <c r="K216" s="53"/>
      <c r="L216" s="52"/>
      <c r="M216" s="52"/>
      <c r="N216" s="59" t="s">
        <v>148</v>
      </c>
      <c r="O216" s="127"/>
      <c r="P216" s="121">
        <f>+P217+P218+P219</f>
        <v>14639.75</v>
      </c>
      <c r="Q216" s="120">
        <f>+Q217+Q218+Q219</f>
        <v>14639.75</v>
      </c>
    </row>
    <row r="217" spans="1:17" ht="23.25" x14ac:dyDescent="0.35">
      <c r="A217" s="117"/>
      <c r="B217" s="2"/>
      <c r="C217" s="44"/>
      <c r="D217" s="12"/>
      <c r="E217" s="44"/>
      <c r="F217" s="44"/>
      <c r="G217" s="45">
        <v>9995</v>
      </c>
      <c r="H217" s="52">
        <v>2</v>
      </c>
      <c r="I217" s="53">
        <v>3</v>
      </c>
      <c r="J217" s="52">
        <v>6</v>
      </c>
      <c r="K217" s="53">
        <v>1</v>
      </c>
      <c r="L217" s="52">
        <v>0</v>
      </c>
      <c r="M217" s="52">
        <v>1</v>
      </c>
      <c r="N217" s="53" t="s">
        <v>149</v>
      </c>
      <c r="O217" s="127"/>
      <c r="P217" s="126">
        <v>50</v>
      </c>
      <c r="Q217" s="127">
        <v>50</v>
      </c>
    </row>
    <row r="218" spans="1:17" ht="23.25" x14ac:dyDescent="0.35">
      <c r="A218" s="117"/>
      <c r="B218" s="2"/>
      <c r="C218" s="44"/>
      <c r="D218" s="12"/>
      <c r="E218" s="44"/>
      <c r="F218" s="44"/>
      <c r="G218" s="45">
        <v>9995</v>
      </c>
      <c r="H218" s="52">
        <v>2</v>
      </c>
      <c r="I218" s="53">
        <v>3</v>
      </c>
      <c r="J218" s="52">
        <v>6</v>
      </c>
      <c r="K218" s="53">
        <v>2</v>
      </c>
      <c r="L218" s="52">
        <v>0</v>
      </c>
      <c r="M218" s="52">
        <v>1</v>
      </c>
      <c r="N218" s="53" t="s">
        <v>150</v>
      </c>
      <c r="O218" s="127"/>
      <c r="P218" s="126">
        <f>17500-8029.69+4109.44</f>
        <v>13579.75</v>
      </c>
      <c r="Q218" s="127">
        <f>17500-8029.69+4109.44</f>
        <v>13579.75</v>
      </c>
    </row>
    <row r="219" spans="1:17" ht="23.25" x14ac:dyDescent="0.35">
      <c r="A219" s="117"/>
      <c r="B219" s="2"/>
      <c r="C219" s="44"/>
      <c r="D219" s="12"/>
      <c r="E219" s="44"/>
      <c r="F219" s="44"/>
      <c r="G219" s="45">
        <v>9995</v>
      </c>
      <c r="H219" s="52">
        <v>2</v>
      </c>
      <c r="I219" s="53">
        <v>3</v>
      </c>
      <c r="J219" s="52">
        <v>6</v>
      </c>
      <c r="K219" s="53">
        <v>3</v>
      </c>
      <c r="L219" s="52">
        <v>0</v>
      </c>
      <c r="M219" s="52">
        <v>1</v>
      </c>
      <c r="N219" s="53" t="s">
        <v>107</v>
      </c>
      <c r="O219" s="127"/>
      <c r="P219" s="126">
        <v>1010</v>
      </c>
      <c r="Q219" s="127">
        <v>1010</v>
      </c>
    </row>
    <row r="220" spans="1:17" ht="23.25" x14ac:dyDescent="0.35">
      <c r="A220" s="117"/>
      <c r="B220" s="2"/>
      <c r="C220" s="44"/>
      <c r="D220" s="12"/>
      <c r="E220" s="44"/>
      <c r="F220" s="44"/>
      <c r="G220" s="45"/>
      <c r="H220" s="52"/>
      <c r="I220" s="53"/>
      <c r="J220" s="52"/>
      <c r="K220" s="53"/>
      <c r="L220" s="52"/>
      <c r="M220" s="52"/>
      <c r="N220" s="53"/>
      <c r="O220" s="127"/>
      <c r="P220" s="126"/>
      <c r="Q220" s="127"/>
    </row>
    <row r="221" spans="1:17" ht="23.25" x14ac:dyDescent="0.35">
      <c r="A221" s="117"/>
      <c r="B221" s="2"/>
      <c r="C221" s="44"/>
      <c r="D221" s="12"/>
      <c r="E221" s="44"/>
      <c r="F221" s="44"/>
      <c r="G221" s="45"/>
      <c r="H221" s="46">
        <v>2</v>
      </c>
      <c r="I221" s="47">
        <v>3</v>
      </c>
      <c r="J221" s="46">
        <v>7</v>
      </c>
      <c r="K221" s="53"/>
      <c r="L221" s="52"/>
      <c r="M221" s="52"/>
      <c r="N221" s="59" t="s">
        <v>151</v>
      </c>
      <c r="O221" s="127"/>
      <c r="P221" s="121">
        <f>+P222+P223+P224</f>
        <v>33379.75</v>
      </c>
      <c r="Q221" s="120">
        <f>+Q222+Q223+Q224</f>
        <v>33379.75</v>
      </c>
    </row>
    <row r="222" spans="1:17" ht="23.25" x14ac:dyDescent="0.35">
      <c r="A222" s="117"/>
      <c r="B222" s="2"/>
      <c r="C222" s="44"/>
      <c r="D222" s="12"/>
      <c r="E222" s="44"/>
      <c r="F222" s="44"/>
      <c r="G222" s="45">
        <v>9995</v>
      </c>
      <c r="H222" s="52">
        <v>2</v>
      </c>
      <c r="I222" s="53">
        <v>3</v>
      </c>
      <c r="J222" s="52">
        <v>7</v>
      </c>
      <c r="K222" s="53">
        <v>1</v>
      </c>
      <c r="L222" s="52">
        <v>0</v>
      </c>
      <c r="M222" s="52">
        <v>1</v>
      </c>
      <c r="N222" s="53" t="s">
        <v>152</v>
      </c>
      <c r="O222" s="127"/>
      <c r="P222" s="126">
        <f>3000+8000+8000+4000+8000-8029.69+4109.44</f>
        <v>27079.75</v>
      </c>
      <c r="Q222" s="127">
        <f>3000+8000+8000+4000+8000-8029.69+4109.44</f>
        <v>27079.75</v>
      </c>
    </row>
    <row r="223" spans="1:17" ht="23.25" x14ac:dyDescent="0.35">
      <c r="A223" s="117"/>
      <c r="B223" s="2"/>
      <c r="C223" s="44"/>
      <c r="D223" s="12"/>
      <c r="E223" s="44"/>
      <c r="F223" s="44"/>
      <c r="G223" s="45">
        <v>9995</v>
      </c>
      <c r="H223" s="52">
        <v>2</v>
      </c>
      <c r="I223" s="53">
        <v>3</v>
      </c>
      <c r="J223" s="52">
        <v>7</v>
      </c>
      <c r="K223" s="53">
        <v>1</v>
      </c>
      <c r="L223" s="52">
        <v>0</v>
      </c>
      <c r="M223" s="52">
        <v>4</v>
      </c>
      <c r="N223" s="53" t="s">
        <v>111</v>
      </c>
      <c r="O223" s="127"/>
      <c r="P223" s="126">
        <f>700+2400</f>
        <v>3100</v>
      </c>
      <c r="Q223" s="127">
        <f>700+2400</f>
        <v>3100</v>
      </c>
    </row>
    <row r="224" spans="1:17" ht="23.25" x14ac:dyDescent="0.35">
      <c r="A224" s="117"/>
      <c r="B224" s="2"/>
      <c r="C224" s="44"/>
      <c r="D224" s="12"/>
      <c r="E224" s="44"/>
      <c r="F224" s="44"/>
      <c r="G224" s="45">
        <v>9995</v>
      </c>
      <c r="H224" s="52">
        <v>2</v>
      </c>
      <c r="I224" s="53">
        <v>3</v>
      </c>
      <c r="J224" s="52">
        <v>7</v>
      </c>
      <c r="K224" s="53">
        <v>1</v>
      </c>
      <c r="L224" s="52">
        <v>0</v>
      </c>
      <c r="M224" s="52">
        <v>7</v>
      </c>
      <c r="N224" s="53" t="s">
        <v>153</v>
      </c>
      <c r="O224" s="127"/>
      <c r="P224" s="126">
        <v>3200</v>
      </c>
      <c r="Q224" s="127">
        <v>3200</v>
      </c>
    </row>
    <row r="225" spans="1:17" ht="23.25" x14ac:dyDescent="0.35">
      <c r="A225" s="117"/>
      <c r="B225" s="2"/>
      <c r="C225" s="44"/>
      <c r="D225" s="12"/>
      <c r="E225" s="44"/>
      <c r="F225" s="44"/>
      <c r="G225" s="45">
        <v>9995</v>
      </c>
      <c r="H225" s="52">
        <v>2</v>
      </c>
      <c r="I225" s="53">
        <v>3</v>
      </c>
      <c r="J225" s="52">
        <v>7</v>
      </c>
      <c r="K225" s="53">
        <v>2</v>
      </c>
      <c r="L225" s="52">
        <v>0</v>
      </c>
      <c r="M225" s="52">
        <v>1</v>
      </c>
      <c r="N225" s="53" t="s">
        <v>154</v>
      </c>
      <c r="O225" s="127"/>
      <c r="P225" s="126"/>
      <c r="Q225" s="127"/>
    </row>
    <row r="226" spans="1:17" ht="23.25" x14ac:dyDescent="0.35">
      <c r="A226" s="117"/>
      <c r="B226" s="2"/>
      <c r="C226" s="44"/>
      <c r="D226" s="12"/>
      <c r="E226" s="44"/>
      <c r="F226" s="44"/>
      <c r="G226" s="45"/>
      <c r="H226" s="52"/>
      <c r="I226" s="53"/>
      <c r="J226" s="52"/>
      <c r="K226" s="53"/>
      <c r="L226" s="52"/>
      <c r="M226" s="52"/>
      <c r="N226" s="53"/>
      <c r="O226" s="127"/>
      <c r="P226" s="126"/>
      <c r="Q226" s="127"/>
    </row>
    <row r="227" spans="1:17" ht="23.25" x14ac:dyDescent="0.35">
      <c r="A227" s="117"/>
      <c r="B227" s="2"/>
      <c r="C227" s="44"/>
      <c r="D227" s="12"/>
      <c r="E227" s="44"/>
      <c r="F227" s="44"/>
      <c r="G227" s="45"/>
      <c r="H227" s="46">
        <v>2</v>
      </c>
      <c r="I227" s="47">
        <v>3</v>
      </c>
      <c r="J227" s="46">
        <v>9</v>
      </c>
      <c r="K227" s="53"/>
      <c r="L227" s="52"/>
      <c r="M227" s="52"/>
      <c r="N227" s="47" t="s">
        <v>155</v>
      </c>
      <c r="O227" s="127"/>
      <c r="P227" s="121">
        <f>+P228</f>
        <v>55125.729999999996</v>
      </c>
      <c r="Q227" s="120"/>
    </row>
    <row r="228" spans="1:17" ht="23.25" x14ac:dyDescent="0.35">
      <c r="A228" s="117"/>
      <c r="B228" s="2"/>
      <c r="C228" s="44"/>
      <c r="D228" s="12"/>
      <c r="E228" s="44"/>
      <c r="F228" s="44"/>
      <c r="G228" s="45">
        <v>9995</v>
      </c>
      <c r="H228" s="52">
        <v>2</v>
      </c>
      <c r="I228" s="53">
        <v>3</v>
      </c>
      <c r="J228" s="52">
        <v>9</v>
      </c>
      <c r="K228" s="53">
        <v>6</v>
      </c>
      <c r="L228" s="52">
        <v>0</v>
      </c>
      <c r="M228" s="52">
        <v>1</v>
      </c>
      <c r="N228" s="53" t="s">
        <v>114</v>
      </c>
      <c r="O228" s="127"/>
      <c r="P228" s="126">
        <f>45076+10049.73</f>
        <v>55125.729999999996</v>
      </c>
      <c r="Q228" s="127"/>
    </row>
    <row r="229" spans="1:17" ht="23.25" x14ac:dyDescent="0.35">
      <c r="A229" s="117"/>
      <c r="B229" s="12"/>
      <c r="C229" s="117"/>
      <c r="D229" s="12"/>
      <c r="E229" s="117"/>
      <c r="F229" s="54"/>
      <c r="G229" s="45"/>
      <c r="H229" s="52"/>
      <c r="I229" s="53"/>
      <c r="J229" s="52"/>
      <c r="K229" s="53"/>
      <c r="L229" s="52"/>
      <c r="M229" s="52"/>
      <c r="N229" s="128"/>
      <c r="O229" s="127"/>
      <c r="P229" s="126"/>
      <c r="Q229" s="127"/>
    </row>
    <row r="230" spans="1:17" ht="116.25" x14ac:dyDescent="0.35">
      <c r="A230" s="117"/>
      <c r="B230" s="2" t="s">
        <v>33</v>
      </c>
      <c r="C230" s="44" t="s">
        <v>33</v>
      </c>
      <c r="D230" s="2"/>
      <c r="E230" s="44" t="s">
        <v>34</v>
      </c>
      <c r="F230" s="44" t="s">
        <v>36</v>
      </c>
      <c r="G230" s="45"/>
      <c r="H230" s="46">
        <v>2</v>
      </c>
      <c r="I230" s="47">
        <v>4</v>
      </c>
      <c r="J230" s="46"/>
      <c r="K230" s="47"/>
      <c r="L230" s="46"/>
      <c r="M230" s="46"/>
      <c r="N230" s="129" t="s">
        <v>116</v>
      </c>
      <c r="O230" s="120">
        <f>+P230-Q230</f>
        <v>405724.61</v>
      </c>
      <c r="P230" s="121">
        <f>+P232</f>
        <v>534775.46</v>
      </c>
      <c r="Q230" s="120">
        <f>+Q232</f>
        <v>129050.85</v>
      </c>
    </row>
    <row r="231" spans="1:17" ht="23.25" x14ac:dyDescent="0.35">
      <c r="A231" s="117"/>
      <c r="B231" s="12"/>
      <c r="C231" s="117"/>
      <c r="D231" s="12"/>
      <c r="E231" s="117"/>
      <c r="F231" s="54"/>
      <c r="G231" s="45"/>
      <c r="H231" s="46"/>
      <c r="I231" s="47"/>
      <c r="J231" s="46"/>
      <c r="K231" s="47"/>
      <c r="L231" s="46"/>
      <c r="M231" s="46"/>
      <c r="N231" s="129"/>
      <c r="O231" s="127"/>
      <c r="P231" s="121"/>
      <c r="Q231" s="120"/>
    </row>
    <row r="232" spans="1:17" ht="93" x14ac:dyDescent="0.35">
      <c r="A232" s="117"/>
      <c r="B232" s="12"/>
      <c r="C232" s="117"/>
      <c r="D232" s="12"/>
      <c r="E232" s="117"/>
      <c r="F232" s="54"/>
      <c r="G232" s="45"/>
      <c r="H232" s="46">
        <v>2</v>
      </c>
      <c r="I232" s="47">
        <v>6</v>
      </c>
      <c r="J232" s="46">
        <v>1</v>
      </c>
      <c r="K232" s="47"/>
      <c r="L232" s="52"/>
      <c r="M232" s="52"/>
      <c r="N232" s="129" t="s">
        <v>122</v>
      </c>
      <c r="O232" s="127"/>
      <c r="P232" s="121">
        <f>+P233+P234+P235</f>
        <v>534775.46</v>
      </c>
      <c r="Q232" s="120">
        <f>+Q235</f>
        <v>129050.85</v>
      </c>
    </row>
    <row r="233" spans="1:17" ht="69.75" x14ac:dyDescent="0.35">
      <c r="A233" s="117"/>
      <c r="B233" s="12"/>
      <c r="C233" s="117"/>
      <c r="D233" s="12"/>
      <c r="E233" s="117"/>
      <c r="F233" s="54"/>
      <c r="G233" s="45">
        <v>9995</v>
      </c>
      <c r="H233" s="46">
        <v>2</v>
      </c>
      <c r="I233" s="47">
        <v>6</v>
      </c>
      <c r="J233" s="46">
        <v>1</v>
      </c>
      <c r="K233" s="47">
        <v>1</v>
      </c>
      <c r="L233" s="52">
        <v>0</v>
      </c>
      <c r="M233" s="52">
        <v>1</v>
      </c>
      <c r="N233" s="128" t="s">
        <v>123</v>
      </c>
      <c r="O233" s="127"/>
      <c r="P233" s="126">
        <f>19729.6+22001.46+14750</f>
        <v>56481.06</v>
      </c>
      <c r="Q233" s="127"/>
    </row>
    <row r="234" spans="1:17" ht="46.5" x14ac:dyDescent="0.35">
      <c r="A234" s="117"/>
      <c r="B234" s="12"/>
      <c r="C234" s="117"/>
      <c r="D234" s="12"/>
      <c r="E234" s="117"/>
      <c r="F234" s="54"/>
      <c r="G234" s="45">
        <v>9995</v>
      </c>
      <c r="H234" s="52">
        <v>2</v>
      </c>
      <c r="I234" s="53">
        <v>6</v>
      </c>
      <c r="J234" s="52">
        <v>1</v>
      </c>
      <c r="K234" s="53">
        <v>3</v>
      </c>
      <c r="L234" s="52">
        <v>0</v>
      </c>
      <c r="M234" s="52">
        <v>1</v>
      </c>
      <c r="N234" s="128" t="s">
        <v>156</v>
      </c>
      <c r="O234" s="127"/>
      <c r="P234" s="126">
        <v>342294.4</v>
      </c>
      <c r="Q234" s="127"/>
    </row>
    <row r="235" spans="1:17" ht="69.75" x14ac:dyDescent="0.35">
      <c r="A235" s="117"/>
      <c r="B235" s="12"/>
      <c r="C235" s="117"/>
      <c r="D235" s="12"/>
      <c r="E235" s="117"/>
      <c r="F235" s="54"/>
      <c r="G235" s="45">
        <v>9995</v>
      </c>
      <c r="H235" s="52">
        <v>2</v>
      </c>
      <c r="I235" s="53">
        <v>6</v>
      </c>
      <c r="J235" s="52">
        <v>1</v>
      </c>
      <c r="K235" s="53">
        <v>4</v>
      </c>
      <c r="L235" s="52">
        <v>0</v>
      </c>
      <c r="M235" s="52">
        <v>1</v>
      </c>
      <c r="N235" s="128" t="s">
        <v>124</v>
      </c>
      <c r="O235" s="127"/>
      <c r="P235" s="126">
        <v>136000</v>
      </c>
      <c r="Q235" s="127">
        <v>129050.85</v>
      </c>
    </row>
    <row r="236" spans="1:17" ht="24" thickBot="1" x14ac:dyDescent="0.4">
      <c r="A236" s="130"/>
      <c r="B236" s="12"/>
      <c r="C236" s="130"/>
      <c r="D236" s="12"/>
      <c r="E236" s="130"/>
      <c r="F236" s="54"/>
      <c r="G236" s="45"/>
      <c r="H236" s="52"/>
      <c r="I236" s="53"/>
      <c r="J236" s="52"/>
      <c r="K236" s="53"/>
      <c r="L236" s="52"/>
      <c r="M236" s="63"/>
      <c r="N236" s="128"/>
      <c r="O236" s="131"/>
      <c r="P236" s="126"/>
      <c r="Q236" s="127"/>
    </row>
    <row r="237" spans="1:17" ht="24" thickBot="1" x14ac:dyDescent="0.4">
      <c r="A237" s="224"/>
      <c r="B237" s="225"/>
      <c r="C237" s="225"/>
      <c r="D237" s="225"/>
      <c r="E237" s="225"/>
      <c r="F237" s="225"/>
      <c r="G237" s="225"/>
      <c r="H237" s="225"/>
      <c r="I237" s="225"/>
      <c r="J237" s="225"/>
      <c r="K237" s="225"/>
      <c r="L237" s="237"/>
      <c r="M237" s="88"/>
      <c r="N237" s="132" t="s">
        <v>129</v>
      </c>
      <c r="O237" s="133">
        <f>+O230+O208+O192+O181</f>
        <v>710379.42</v>
      </c>
      <c r="P237" s="134">
        <f>+P230+P208+P192+P181</f>
        <v>2231923.3199999998</v>
      </c>
      <c r="Q237" s="133">
        <f>+Q230+Q208+Q192+Q181</f>
        <v>1521543.9</v>
      </c>
    </row>
    <row r="238" spans="1:17" ht="23.25" x14ac:dyDescent="0.3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35"/>
      <c r="P238" s="135"/>
      <c r="Q238" s="135"/>
    </row>
    <row r="239" spans="1:17" ht="23.25" x14ac:dyDescent="0.3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35"/>
      <c r="P239" s="135"/>
      <c r="Q239" s="135"/>
    </row>
    <row r="240" spans="1:17" ht="23.25" x14ac:dyDescent="0.3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35"/>
      <c r="P240" s="135"/>
      <c r="Q240" s="135"/>
    </row>
    <row r="241" spans="1:17" ht="23.25" x14ac:dyDescent="0.3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36"/>
      <c r="P241" s="135"/>
      <c r="Q241" s="135"/>
    </row>
    <row r="242" spans="1:17" ht="23.25" x14ac:dyDescent="0.35">
      <c r="A242" s="105"/>
      <c r="B242" s="105"/>
      <c r="C242" s="105"/>
      <c r="D242" s="105"/>
      <c r="E242" s="105"/>
      <c r="F242" s="68"/>
      <c r="G242" s="68"/>
      <c r="H242" s="68"/>
      <c r="I242" s="105"/>
      <c r="J242" s="105"/>
      <c r="K242" s="105"/>
      <c r="L242" s="105"/>
      <c r="M242" s="105"/>
      <c r="N242" s="105"/>
      <c r="O242" s="105"/>
      <c r="P242" s="105"/>
      <c r="Q242" s="105"/>
    </row>
    <row r="243" spans="1:17" ht="23.25" x14ac:dyDescent="0.35">
      <c r="A243" s="95"/>
      <c r="B243" s="95"/>
      <c r="C243" s="95"/>
      <c r="D243" s="95"/>
      <c r="E243" s="95"/>
      <c r="F243" s="95"/>
      <c r="G243" s="95"/>
      <c r="H243" s="96"/>
      <c r="I243" s="2"/>
      <c r="J243" s="2"/>
      <c r="K243" s="2"/>
      <c r="L243" s="2"/>
      <c r="M243" s="2"/>
      <c r="N243" s="96"/>
      <c r="O243" s="96"/>
      <c r="P243" s="97"/>
      <c r="Q243" s="98"/>
    </row>
    <row r="244" spans="1:17" ht="23.25" x14ac:dyDescent="0.35">
      <c r="A244" s="194" t="s">
        <v>130</v>
      </c>
      <c r="B244" s="194"/>
      <c r="C244" s="194"/>
      <c r="D244" s="194"/>
      <c r="E244" s="194"/>
      <c r="F244" s="194"/>
      <c r="G244" s="194"/>
      <c r="H244" s="194"/>
      <c r="I244" s="194"/>
      <c r="J244" s="2"/>
      <c r="K244" s="2"/>
      <c r="L244" s="2"/>
      <c r="M244" s="2"/>
      <c r="N244" s="12" t="s">
        <v>131</v>
      </c>
      <c r="O244" s="195" t="s">
        <v>132</v>
      </c>
      <c r="P244" s="195"/>
      <c r="Q244" s="195"/>
    </row>
    <row r="245" spans="1:17" ht="23.25" x14ac:dyDescent="0.3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01"/>
      <c r="P245" s="102"/>
      <c r="Q245" s="102"/>
    </row>
    <row r="246" spans="1:17" ht="23.25" x14ac:dyDescent="0.35">
      <c r="A246" s="105"/>
      <c r="B246" s="105"/>
      <c r="C246" s="105"/>
      <c r="D246" s="105"/>
      <c r="E246" s="105"/>
      <c r="F246" s="68"/>
      <c r="G246" s="68"/>
      <c r="H246" s="68"/>
      <c r="I246" s="105"/>
      <c r="J246" s="105"/>
      <c r="K246" s="105"/>
      <c r="L246" s="105"/>
      <c r="M246" s="105"/>
      <c r="N246" s="105"/>
      <c r="O246" s="105"/>
      <c r="P246" s="105"/>
      <c r="Q246" s="105"/>
    </row>
    <row r="247" spans="1:17" ht="23.25" x14ac:dyDescent="0.35">
      <c r="A247" s="105"/>
      <c r="B247" s="105"/>
      <c r="C247" s="105"/>
      <c r="D247" s="105"/>
      <c r="E247" s="105"/>
      <c r="F247" s="68"/>
      <c r="G247" s="68"/>
      <c r="H247" s="68"/>
      <c r="I247" s="105"/>
      <c r="J247" s="105"/>
      <c r="K247" s="105"/>
      <c r="L247" s="105"/>
      <c r="M247" s="105"/>
      <c r="N247" s="105"/>
      <c r="O247" s="105"/>
      <c r="P247" s="105"/>
      <c r="Q247" s="105"/>
    </row>
    <row r="248" spans="1:17" ht="23.25" x14ac:dyDescent="0.35">
      <c r="A248" s="105"/>
      <c r="B248" s="105"/>
      <c r="C248" s="105"/>
      <c r="D248" s="105"/>
      <c r="E248" s="105"/>
      <c r="F248" s="68"/>
      <c r="G248" s="68"/>
      <c r="H248" s="68"/>
      <c r="I248" s="105"/>
      <c r="J248" s="105"/>
      <c r="K248" s="105"/>
      <c r="L248" s="105"/>
      <c r="M248" s="105"/>
      <c r="N248" s="105"/>
      <c r="O248" s="105"/>
      <c r="P248" s="105"/>
      <c r="Q248" s="105"/>
    </row>
    <row r="249" spans="1:17" ht="23.25" x14ac:dyDescent="0.35">
      <c r="A249" s="105"/>
      <c r="B249" s="105"/>
      <c r="C249" s="105"/>
      <c r="D249" s="105"/>
      <c r="E249" s="105"/>
      <c r="F249" s="68"/>
      <c r="G249" s="68"/>
      <c r="H249" s="68"/>
      <c r="I249" s="105"/>
      <c r="J249" s="105"/>
      <c r="K249" s="105"/>
      <c r="L249" s="105"/>
      <c r="M249" s="105"/>
      <c r="N249" s="105"/>
      <c r="O249" s="105"/>
      <c r="P249" s="105"/>
      <c r="Q249" s="105"/>
    </row>
    <row r="250" spans="1:17" ht="23.25" x14ac:dyDescent="0.35">
      <c r="A250" s="105"/>
      <c r="B250" s="105"/>
      <c r="C250" s="105"/>
      <c r="D250" s="105"/>
      <c r="E250" s="105"/>
      <c r="F250" s="68"/>
      <c r="G250" s="68"/>
      <c r="H250" s="68"/>
      <c r="I250" s="105"/>
      <c r="J250" s="105"/>
      <c r="K250" s="105"/>
      <c r="L250" s="105"/>
      <c r="M250" s="105"/>
      <c r="N250" s="105"/>
      <c r="O250" s="105"/>
      <c r="P250" s="105"/>
      <c r="Q250" s="105"/>
    </row>
    <row r="251" spans="1:17" ht="23.25" x14ac:dyDescent="0.35">
      <c r="A251" s="105"/>
      <c r="B251" s="105"/>
      <c r="C251" s="105"/>
      <c r="D251" s="105"/>
      <c r="E251" s="105"/>
      <c r="F251" s="68"/>
      <c r="G251" s="68"/>
      <c r="H251" s="68"/>
      <c r="I251" s="105"/>
      <c r="J251" s="68"/>
      <c r="K251" s="68"/>
      <c r="L251" s="105"/>
      <c r="M251" s="105"/>
      <c r="N251" s="105"/>
      <c r="O251" s="105"/>
      <c r="P251" s="105"/>
      <c r="Q251" s="105"/>
    </row>
    <row r="252" spans="1:17" ht="23.25" x14ac:dyDescent="0.35">
      <c r="A252" s="105"/>
      <c r="B252" s="105"/>
      <c r="C252" s="105"/>
      <c r="D252" s="105"/>
      <c r="E252" s="105"/>
      <c r="F252" s="68"/>
      <c r="G252" s="68"/>
      <c r="H252" s="68"/>
      <c r="I252" s="105"/>
      <c r="J252" s="68"/>
      <c r="K252" s="68"/>
      <c r="L252" s="105"/>
      <c r="M252" s="105"/>
      <c r="N252" s="105"/>
      <c r="O252" s="105"/>
      <c r="P252" s="105"/>
      <c r="Q252" s="105"/>
    </row>
    <row r="253" spans="1:17" ht="24" thickBot="1" x14ac:dyDescent="0.4">
      <c r="A253" s="105"/>
      <c r="B253" s="105"/>
      <c r="C253" s="105"/>
      <c r="D253" s="105"/>
      <c r="E253" s="105"/>
      <c r="F253" s="68"/>
      <c r="G253" s="68"/>
      <c r="H253" s="68"/>
      <c r="I253" s="105"/>
      <c r="J253" s="105"/>
      <c r="K253" s="105"/>
      <c r="L253" s="105"/>
      <c r="M253" s="105"/>
      <c r="N253" s="105"/>
      <c r="O253" s="105"/>
      <c r="P253" s="105"/>
      <c r="Q253" s="105"/>
    </row>
    <row r="254" spans="1:17" ht="24" thickBot="1" x14ac:dyDescent="0.4">
      <c r="A254" s="208">
        <v>3</v>
      </c>
      <c r="B254" s="209"/>
      <c r="C254" s="209"/>
      <c r="D254" s="209"/>
      <c r="E254" s="209"/>
      <c r="F254" s="209"/>
      <c r="G254" s="209"/>
      <c r="H254" s="209"/>
      <c r="I254" s="209"/>
      <c r="J254" s="209"/>
      <c r="K254" s="209"/>
      <c r="L254" s="209"/>
      <c r="M254" s="209"/>
      <c r="N254" s="209"/>
      <c r="O254" s="209"/>
      <c r="P254" s="209"/>
      <c r="Q254" s="210"/>
    </row>
    <row r="255" spans="1:17" ht="23.25" x14ac:dyDescent="0.35">
      <c r="A255" s="211" t="s">
        <v>1</v>
      </c>
      <c r="B255" s="203"/>
      <c r="C255" s="203"/>
      <c r="D255" s="203"/>
      <c r="E255" s="203"/>
      <c r="F255" s="203"/>
      <c r="G255" s="203"/>
      <c r="H255" s="203"/>
      <c r="I255" s="203"/>
      <c r="J255" s="203"/>
      <c r="K255" s="203"/>
      <c r="L255" s="203"/>
      <c r="M255" s="203"/>
      <c r="N255" s="203"/>
      <c r="O255" s="203"/>
      <c r="P255" s="203"/>
      <c r="Q255" s="212"/>
    </row>
    <row r="256" spans="1:17" ht="23.25" x14ac:dyDescent="0.35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3"/>
      <c r="Q256" s="4" t="s">
        <v>2</v>
      </c>
    </row>
    <row r="257" spans="1:17" ht="23.25" x14ac:dyDescent="0.35">
      <c r="A257" s="5" t="s">
        <v>3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6"/>
      <c r="P257" s="7" t="s">
        <v>4</v>
      </c>
      <c r="Q257" s="8"/>
    </row>
    <row r="258" spans="1:17" ht="23.25" x14ac:dyDescent="0.35">
      <c r="A258" s="5" t="s">
        <v>5</v>
      </c>
      <c r="B258" s="2"/>
      <c r="C258" s="2">
        <v>5120</v>
      </c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9"/>
      <c r="P258" s="10" t="s">
        <v>6</v>
      </c>
      <c r="Q258" s="11"/>
    </row>
    <row r="259" spans="1:17" ht="23.25" x14ac:dyDescent="0.35">
      <c r="A259" s="5" t="s">
        <v>7</v>
      </c>
      <c r="B259" s="9"/>
      <c r="C259" s="9" t="s">
        <v>8</v>
      </c>
      <c r="D259" s="9"/>
      <c r="E259" s="9"/>
      <c r="F259" s="2"/>
      <c r="G259" s="2"/>
      <c r="H259" s="2"/>
      <c r="I259" s="2"/>
      <c r="J259" s="2"/>
      <c r="K259" s="2"/>
      <c r="L259" s="2"/>
      <c r="M259" s="2"/>
      <c r="N259" s="12" t="s">
        <v>157</v>
      </c>
      <c r="O259" s="9"/>
      <c r="P259" s="10" t="s">
        <v>10</v>
      </c>
      <c r="Q259" s="11"/>
    </row>
    <row r="260" spans="1:17" ht="24" thickBot="1" x14ac:dyDescent="0.4">
      <c r="A260" s="5" t="s">
        <v>11</v>
      </c>
      <c r="B260" s="9">
        <v>2017</v>
      </c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9"/>
      <c r="P260" s="13" t="s">
        <v>12</v>
      </c>
      <c r="Q260" s="14"/>
    </row>
    <row r="261" spans="1:17" ht="23.25" x14ac:dyDescent="0.35">
      <c r="A261" s="213" t="s">
        <v>13</v>
      </c>
      <c r="B261" s="214"/>
      <c r="C261" s="214"/>
      <c r="D261" s="214"/>
      <c r="E261" s="214"/>
      <c r="F261" s="214"/>
      <c r="G261" s="214"/>
      <c r="H261" s="214"/>
      <c r="I261" s="214"/>
      <c r="J261" s="214"/>
      <c r="K261" s="214"/>
      <c r="L261" s="215"/>
      <c r="M261" s="19"/>
      <c r="N261" s="19"/>
      <c r="O261" s="226" t="s">
        <v>14</v>
      </c>
      <c r="P261" s="214"/>
      <c r="Q261" s="227"/>
    </row>
    <row r="262" spans="1:17" ht="23.25" x14ac:dyDescent="0.35">
      <c r="A262" s="228">
        <v>2</v>
      </c>
      <c r="B262" s="229"/>
      <c r="C262" s="229"/>
      <c r="D262" s="229"/>
      <c r="E262" s="229"/>
      <c r="F262" s="229"/>
      <c r="G262" s="230"/>
      <c r="H262" s="24" t="s">
        <v>15</v>
      </c>
      <c r="I262" s="25"/>
      <c r="J262" s="25"/>
      <c r="K262" s="25"/>
      <c r="L262" s="137"/>
      <c r="M262" s="137"/>
      <c r="N262" s="137"/>
      <c r="O262" s="138" t="s">
        <v>16</v>
      </c>
      <c r="P262" s="138" t="s">
        <v>17</v>
      </c>
      <c r="Q262" s="139" t="s">
        <v>18</v>
      </c>
    </row>
    <row r="263" spans="1:17" ht="23.25" x14ac:dyDescent="0.35">
      <c r="A263" s="231" t="s">
        <v>19</v>
      </c>
      <c r="B263" s="29" t="s">
        <v>20</v>
      </c>
      <c r="C263" s="217" t="s">
        <v>21</v>
      </c>
      <c r="D263" s="29" t="s">
        <v>22</v>
      </c>
      <c r="E263" s="29" t="s">
        <v>23</v>
      </c>
      <c r="F263" s="233" t="s">
        <v>24</v>
      </c>
      <c r="G263" s="217" t="s">
        <v>25</v>
      </c>
      <c r="H263" s="217" t="s">
        <v>158</v>
      </c>
      <c r="I263" s="217" t="s">
        <v>159</v>
      </c>
      <c r="J263" s="29"/>
      <c r="K263" s="29"/>
      <c r="L263" s="29" t="s">
        <v>20</v>
      </c>
      <c r="M263" s="29"/>
      <c r="N263" s="29"/>
      <c r="O263" s="219">
        <v>3</v>
      </c>
      <c r="P263" s="219">
        <v>4</v>
      </c>
      <c r="Q263" s="222">
        <v>5</v>
      </c>
    </row>
    <row r="264" spans="1:17" ht="24" thickBot="1" x14ac:dyDescent="0.4">
      <c r="A264" s="232"/>
      <c r="B264" s="140" t="s">
        <v>19</v>
      </c>
      <c r="C264" s="218"/>
      <c r="D264" s="140" t="s">
        <v>28</v>
      </c>
      <c r="E264" s="140" t="s">
        <v>29</v>
      </c>
      <c r="F264" s="234"/>
      <c r="G264" s="218"/>
      <c r="H264" s="218"/>
      <c r="I264" s="218"/>
      <c r="J264" s="140"/>
      <c r="K264" s="140"/>
      <c r="L264" s="140" t="s">
        <v>159</v>
      </c>
      <c r="M264" s="140"/>
      <c r="N264" s="140"/>
      <c r="O264" s="220"/>
      <c r="P264" s="221"/>
      <c r="Q264" s="223"/>
    </row>
    <row r="265" spans="1:17" ht="23.25" x14ac:dyDescent="0.35">
      <c r="A265" s="39"/>
      <c r="B265" s="39"/>
      <c r="C265" s="39"/>
      <c r="D265" s="40"/>
      <c r="E265" s="39"/>
      <c r="F265" s="40"/>
      <c r="G265" s="39"/>
      <c r="H265" s="39"/>
      <c r="I265" s="40"/>
      <c r="J265" s="39"/>
      <c r="K265" s="40"/>
      <c r="L265" s="41"/>
      <c r="M265" s="39"/>
      <c r="N265" s="40"/>
      <c r="O265" s="39"/>
      <c r="P265" s="40"/>
      <c r="Q265" s="39"/>
    </row>
    <row r="266" spans="1:17" ht="23.25" x14ac:dyDescent="0.35">
      <c r="A266" s="44"/>
      <c r="B266" s="2" t="s">
        <v>33</v>
      </c>
      <c r="C266" s="44" t="s">
        <v>33</v>
      </c>
      <c r="D266" s="2"/>
      <c r="E266" s="44" t="s">
        <v>34</v>
      </c>
      <c r="F266" s="106" t="s">
        <v>36</v>
      </c>
      <c r="G266" s="44"/>
      <c r="H266" s="141">
        <v>2</v>
      </c>
      <c r="I266" s="9">
        <v>1</v>
      </c>
      <c r="J266" s="141"/>
      <c r="K266" s="9"/>
      <c r="L266" s="5"/>
      <c r="M266" s="141"/>
      <c r="N266" s="47" t="s">
        <v>35</v>
      </c>
      <c r="O266" s="142">
        <f>+P266-Q266</f>
        <v>0</v>
      </c>
      <c r="P266" s="143">
        <f>+P268</f>
        <v>367000</v>
      </c>
      <c r="Q266" s="142">
        <f>+Q268</f>
        <v>367000</v>
      </c>
    </row>
    <row r="267" spans="1:17" ht="23.25" x14ac:dyDescent="0.35">
      <c r="A267" s="44"/>
      <c r="B267" s="44"/>
      <c r="C267" s="44"/>
      <c r="D267" s="2"/>
      <c r="E267" s="44"/>
      <c r="F267" s="2"/>
      <c r="G267" s="44"/>
      <c r="H267" s="141"/>
      <c r="I267" s="9"/>
      <c r="J267" s="141"/>
      <c r="K267" s="9"/>
      <c r="L267" s="5"/>
      <c r="M267" s="141"/>
      <c r="N267" s="47"/>
      <c r="O267" s="142"/>
      <c r="P267" s="143"/>
      <c r="Q267" s="142"/>
    </row>
    <row r="268" spans="1:17" ht="23.25" x14ac:dyDescent="0.35">
      <c r="A268" s="44"/>
      <c r="B268" s="44"/>
      <c r="C268" s="44"/>
      <c r="D268" s="2"/>
      <c r="E268" s="44"/>
      <c r="F268" s="2"/>
      <c r="G268" s="44"/>
      <c r="H268" s="46">
        <v>2</v>
      </c>
      <c r="I268" s="47">
        <v>1</v>
      </c>
      <c r="J268" s="46">
        <v>1</v>
      </c>
      <c r="K268" s="47"/>
      <c r="L268" s="144"/>
      <c r="M268" s="46"/>
      <c r="N268" s="47" t="s">
        <v>37</v>
      </c>
      <c r="O268" s="142"/>
      <c r="P268" s="143">
        <f>+P269</f>
        <v>367000</v>
      </c>
      <c r="Q268" s="142">
        <f>+Q269</f>
        <v>367000</v>
      </c>
    </row>
    <row r="269" spans="1:17" ht="23.25" x14ac:dyDescent="0.35">
      <c r="A269" s="44"/>
      <c r="B269" s="44"/>
      <c r="C269" s="44"/>
      <c r="D269" s="2"/>
      <c r="E269" s="44"/>
      <c r="F269" s="2"/>
      <c r="G269" s="44">
        <v>100</v>
      </c>
      <c r="H269" s="44">
        <v>2</v>
      </c>
      <c r="I269" s="2">
        <v>1</v>
      </c>
      <c r="J269" s="44">
        <v>1</v>
      </c>
      <c r="K269" s="2">
        <v>1</v>
      </c>
      <c r="L269" s="1">
        <v>0</v>
      </c>
      <c r="M269" s="44">
        <v>1</v>
      </c>
      <c r="N269" s="53" t="s">
        <v>134</v>
      </c>
      <c r="O269" s="142"/>
      <c r="P269" s="93">
        <v>367000</v>
      </c>
      <c r="Q269" s="145">
        <v>367000</v>
      </c>
    </row>
    <row r="270" spans="1:17" ht="23.25" x14ac:dyDescent="0.35">
      <c r="A270" s="44"/>
      <c r="B270" s="44"/>
      <c r="C270" s="44"/>
      <c r="D270" s="2"/>
      <c r="E270" s="44"/>
      <c r="F270" s="2"/>
      <c r="G270" s="44"/>
      <c r="H270" s="44"/>
      <c r="I270" s="2"/>
      <c r="J270" s="44"/>
      <c r="K270" s="2"/>
      <c r="L270" s="1"/>
      <c r="M270" s="44"/>
      <c r="N270" s="53"/>
      <c r="O270" s="142"/>
      <c r="P270" s="93"/>
      <c r="Q270" s="145"/>
    </row>
    <row r="271" spans="1:17" ht="23.25" x14ac:dyDescent="0.35">
      <c r="A271" s="44"/>
      <c r="B271" s="44"/>
      <c r="C271" s="44"/>
      <c r="D271" s="2"/>
      <c r="E271" s="44"/>
      <c r="F271" s="2"/>
      <c r="G271" s="44"/>
      <c r="H271" s="141">
        <v>2</v>
      </c>
      <c r="I271" s="9">
        <v>2</v>
      </c>
      <c r="J271" s="141"/>
      <c r="K271" s="2"/>
      <c r="L271" s="1"/>
      <c r="M271" s="44"/>
      <c r="N271" s="47" t="s">
        <v>138</v>
      </c>
      <c r="O271" s="142">
        <f>+P271-Q271</f>
        <v>0</v>
      </c>
      <c r="P271" s="143">
        <f>+P273+P276+P279</f>
        <v>10260.5</v>
      </c>
      <c r="Q271" s="142">
        <f>+Q273+Q276+Q279</f>
        <v>10260.5</v>
      </c>
    </row>
    <row r="272" spans="1:17" ht="23.25" x14ac:dyDescent="0.35">
      <c r="A272" s="44"/>
      <c r="B272" s="44"/>
      <c r="C272" s="44"/>
      <c r="D272" s="2"/>
      <c r="E272" s="44"/>
      <c r="F272" s="2"/>
      <c r="G272" s="44"/>
      <c r="H272" s="141"/>
      <c r="I272" s="9"/>
      <c r="J272" s="141"/>
      <c r="K272" s="2"/>
      <c r="L272" s="1"/>
      <c r="M272" s="44"/>
      <c r="N272" s="53"/>
      <c r="O272" s="142"/>
      <c r="P272" s="93"/>
      <c r="Q272" s="145"/>
    </row>
    <row r="273" spans="1:17" ht="23.25" x14ac:dyDescent="0.35">
      <c r="A273" s="44"/>
      <c r="B273" s="44"/>
      <c r="C273" s="44"/>
      <c r="D273" s="2"/>
      <c r="E273" s="44"/>
      <c r="F273" s="2"/>
      <c r="G273" s="44"/>
      <c r="H273" s="141">
        <v>2</v>
      </c>
      <c r="I273" s="9">
        <v>2</v>
      </c>
      <c r="J273" s="141">
        <v>3</v>
      </c>
      <c r="K273" s="2"/>
      <c r="L273" s="1"/>
      <c r="M273" s="44"/>
      <c r="N273" s="47" t="s">
        <v>63</v>
      </c>
      <c r="O273" s="142"/>
      <c r="P273" s="143">
        <f>+P274</f>
        <v>8400</v>
      </c>
      <c r="Q273" s="142">
        <f>+Q274</f>
        <v>8400</v>
      </c>
    </row>
    <row r="274" spans="1:17" ht="23.25" x14ac:dyDescent="0.35">
      <c r="A274" s="44"/>
      <c r="B274" s="44"/>
      <c r="C274" s="44"/>
      <c r="D274" s="2"/>
      <c r="E274" s="44"/>
      <c r="F274" s="2"/>
      <c r="G274" s="44">
        <v>9995</v>
      </c>
      <c r="H274" s="44">
        <v>2</v>
      </c>
      <c r="I274" s="2">
        <v>2</v>
      </c>
      <c r="J274" s="44">
        <v>3</v>
      </c>
      <c r="K274" s="2">
        <v>1</v>
      </c>
      <c r="L274" s="1">
        <v>0</v>
      </c>
      <c r="M274" s="44">
        <v>1</v>
      </c>
      <c r="N274" s="53" t="s">
        <v>64</v>
      </c>
      <c r="O274" s="142"/>
      <c r="P274" s="93">
        <f>2100+2100+1050+2100+1050</f>
        <v>8400</v>
      </c>
      <c r="Q274" s="145">
        <f>2100+2100+1050+2100+1050</f>
        <v>8400</v>
      </c>
    </row>
    <row r="275" spans="1:17" ht="23.25" x14ac:dyDescent="0.35">
      <c r="A275" s="44"/>
      <c r="B275" s="44"/>
      <c r="C275" s="44"/>
      <c r="D275" s="2"/>
      <c r="E275" s="44"/>
      <c r="F275" s="2"/>
      <c r="G275" s="44"/>
      <c r="H275" s="44"/>
      <c r="I275" s="2"/>
      <c r="J275" s="44"/>
      <c r="K275" s="2"/>
      <c r="L275" s="1"/>
      <c r="M275" s="44"/>
      <c r="N275" s="53"/>
      <c r="O275" s="142"/>
      <c r="P275" s="93"/>
      <c r="Q275" s="145"/>
    </row>
    <row r="276" spans="1:17" ht="23.25" x14ac:dyDescent="0.35">
      <c r="A276" s="44"/>
      <c r="B276" s="44"/>
      <c r="C276" s="44"/>
      <c r="D276" s="2"/>
      <c r="E276" s="44"/>
      <c r="F276" s="2"/>
      <c r="G276" s="44"/>
      <c r="H276" s="141">
        <v>2</v>
      </c>
      <c r="I276" s="9">
        <v>2</v>
      </c>
      <c r="J276" s="141">
        <v>4</v>
      </c>
      <c r="K276" s="9"/>
      <c r="L276" s="1"/>
      <c r="M276" s="44"/>
      <c r="N276" s="47" t="s">
        <v>65</v>
      </c>
      <c r="O276" s="142"/>
      <c r="P276" s="143">
        <f>+P277</f>
        <v>120</v>
      </c>
      <c r="Q276" s="142">
        <f>+Q277</f>
        <v>120</v>
      </c>
    </row>
    <row r="277" spans="1:17" ht="23.25" x14ac:dyDescent="0.35">
      <c r="A277" s="44"/>
      <c r="B277" s="44"/>
      <c r="C277" s="44"/>
      <c r="D277" s="2"/>
      <c r="E277" s="44"/>
      <c r="F277" s="2"/>
      <c r="G277" s="44">
        <v>9995</v>
      </c>
      <c r="H277" s="44">
        <v>2</v>
      </c>
      <c r="I277" s="2">
        <v>2</v>
      </c>
      <c r="J277" s="44">
        <v>4</v>
      </c>
      <c r="K277" s="2">
        <v>4</v>
      </c>
      <c r="L277" s="1">
        <v>0</v>
      </c>
      <c r="M277" s="44">
        <v>1</v>
      </c>
      <c r="N277" s="53" t="s">
        <v>67</v>
      </c>
      <c r="O277" s="142"/>
      <c r="P277" s="93">
        <f>60+60</f>
        <v>120</v>
      </c>
      <c r="Q277" s="145">
        <f>60+60</f>
        <v>120</v>
      </c>
    </row>
    <row r="278" spans="1:17" ht="23.25" x14ac:dyDescent="0.35">
      <c r="A278" s="44"/>
      <c r="B278" s="44"/>
      <c r="C278" s="44"/>
      <c r="D278" s="2"/>
      <c r="E278" s="44"/>
      <c r="F278" s="2"/>
      <c r="G278" s="44"/>
      <c r="H278" s="44"/>
      <c r="I278" s="2"/>
      <c r="J278" s="44"/>
      <c r="K278" s="2"/>
      <c r="L278" s="1"/>
      <c r="M278" s="44"/>
      <c r="N278" s="53"/>
      <c r="O278" s="142"/>
      <c r="P278" s="93"/>
      <c r="Q278" s="145"/>
    </row>
    <row r="279" spans="1:17" ht="23.25" x14ac:dyDescent="0.35">
      <c r="A279" s="44"/>
      <c r="B279" s="44"/>
      <c r="C279" s="44"/>
      <c r="D279" s="2"/>
      <c r="E279" s="44"/>
      <c r="F279" s="2"/>
      <c r="G279" s="44"/>
      <c r="H279" s="44">
        <v>2</v>
      </c>
      <c r="I279" s="2">
        <v>2</v>
      </c>
      <c r="J279" s="44">
        <v>7</v>
      </c>
      <c r="K279" s="2"/>
      <c r="L279" s="1"/>
      <c r="M279" s="44"/>
      <c r="N279" s="47" t="s">
        <v>160</v>
      </c>
      <c r="O279" s="142"/>
      <c r="P279" s="143">
        <f>+P280</f>
        <v>1740.5</v>
      </c>
      <c r="Q279" s="142">
        <f>+Q280</f>
        <v>1740.5</v>
      </c>
    </row>
    <row r="280" spans="1:17" ht="23.25" x14ac:dyDescent="0.35">
      <c r="A280" s="44"/>
      <c r="B280" s="44"/>
      <c r="C280" s="44"/>
      <c r="D280" s="2"/>
      <c r="E280" s="44"/>
      <c r="F280" s="2"/>
      <c r="G280" s="44">
        <v>9995</v>
      </c>
      <c r="H280" s="44">
        <v>2</v>
      </c>
      <c r="I280" s="2">
        <v>2</v>
      </c>
      <c r="J280" s="44">
        <v>7</v>
      </c>
      <c r="K280" s="2">
        <v>2</v>
      </c>
      <c r="L280" s="1">
        <v>0</v>
      </c>
      <c r="M280" s="44">
        <v>6</v>
      </c>
      <c r="N280" s="53" t="s">
        <v>161</v>
      </c>
      <c r="O280" s="142"/>
      <c r="P280" s="93">
        <v>1740.5</v>
      </c>
      <c r="Q280" s="145">
        <v>1740.5</v>
      </c>
    </row>
    <row r="281" spans="1:17" ht="23.25" x14ac:dyDescent="0.35">
      <c r="A281" s="44"/>
      <c r="B281" s="44"/>
      <c r="C281" s="44"/>
      <c r="D281" s="2"/>
      <c r="E281" s="44"/>
      <c r="F281" s="2"/>
      <c r="G281" s="44"/>
      <c r="H281" s="44"/>
      <c r="I281" s="2"/>
      <c r="J281" s="44"/>
      <c r="K281" s="2"/>
      <c r="L281" s="1"/>
      <c r="M281" s="44"/>
      <c r="N281" s="53"/>
      <c r="O281" s="142"/>
      <c r="P281" s="143"/>
      <c r="Q281" s="142"/>
    </row>
    <row r="282" spans="1:17" ht="23.25" x14ac:dyDescent="0.35">
      <c r="A282" s="44"/>
      <c r="B282" s="2" t="s">
        <v>33</v>
      </c>
      <c r="C282" s="44" t="s">
        <v>33</v>
      </c>
      <c r="D282" s="2"/>
      <c r="E282" s="44" t="s">
        <v>34</v>
      </c>
      <c r="F282" s="106" t="s">
        <v>36</v>
      </c>
      <c r="G282" s="44"/>
      <c r="H282" s="141">
        <v>2</v>
      </c>
      <c r="I282" s="9">
        <v>3</v>
      </c>
      <c r="J282" s="141"/>
      <c r="K282" s="2"/>
      <c r="L282" s="1"/>
      <c r="M282" s="44"/>
      <c r="N282" s="47" t="s">
        <v>143</v>
      </c>
      <c r="O282" s="142">
        <f>+P282-Q282</f>
        <v>33131.43</v>
      </c>
      <c r="P282" s="143">
        <f>+P284+P287+P290+P294</f>
        <v>39314.9</v>
      </c>
      <c r="Q282" s="142">
        <f>+Q290+Q294</f>
        <v>6183.4699999999993</v>
      </c>
    </row>
    <row r="283" spans="1:17" ht="23.25" x14ac:dyDescent="0.35">
      <c r="A283" s="44"/>
      <c r="B283" s="2"/>
      <c r="C283" s="44"/>
      <c r="D283" s="2"/>
      <c r="E283" s="44"/>
      <c r="F283" s="2"/>
      <c r="G283" s="44"/>
      <c r="H283" s="141"/>
      <c r="I283" s="9"/>
      <c r="J283" s="141"/>
      <c r="K283" s="2"/>
      <c r="L283" s="1"/>
      <c r="M283" s="44"/>
      <c r="N283" s="47"/>
      <c r="O283" s="142"/>
      <c r="P283" s="143"/>
      <c r="Q283" s="142"/>
    </row>
    <row r="284" spans="1:17" ht="23.25" x14ac:dyDescent="0.35">
      <c r="A284" s="44"/>
      <c r="B284" s="2"/>
      <c r="C284" s="44"/>
      <c r="D284" s="2"/>
      <c r="E284" s="44"/>
      <c r="F284" s="2"/>
      <c r="G284" s="44"/>
      <c r="H284" s="141">
        <v>2</v>
      </c>
      <c r="I284" s="9">
        <v>3</v>
      </c>
      <c r="J284" s="141">
        <v>1</v>
      </c>
      <c r="K284" s="2"/>
      <c r="L284" s="1"/>
      <c r="M284" s="44"/>
      <c r="N284" s="47" t="s">
        <v>144</v>
      </c>
      <c r="O284" s="142"/>
      <c r="P284" s="143">
        <f>+P285</f>
        <v>18189.28</v>
      </c>
      <c r="Q284" s="142"/>
    </row>
    <row r="285" spans="1:17" ht="23.25" x14ac:dyDescent="0.35">
      <c r="A285" s="44"/>
      <c r="B285" s="2"/>
      <c r="C285" s="44"/>
      <c r="D285" s="2"/>
      <c r="E285" s="44"/>
      <c r="F285" s="2"/>
      <c r="G285" s="44">
        <v>9995</v>
      </c>
      <c r="H285" s="141">
        <v>2</v>
      </c>
      <c r="I285" s="9">
        <v>3</v>
      </c>
      <c r="J285" s="141">
        <v>1</v>
      </c>
      <c r="K285" s="2">
        <v>1</v>
      </c>
      <c r="L285" s="1">
        <v>0</v>
      </c>
      <c r="M285" s="44">
        <v>1</v>
      </c>
      <c r="N285" s="53" t="s">
        <v>162</v>
      </c>
      <c r="O285" s="142"/>
      <c r="P285" s="93">
        <f>1992.75+2227.49+10049.73+3919.31</f>
        <v>18189.28</v>
      </c>
      <c r="Q285" s="142"/>
    </row>
    <row r="286" spans="1:17" ht="23.25" x14ac:dyDescent="0.35">
      <c r="A286" s="44"/>
      <c r="B286" s="2"/>
      <c r="C286" s="44"/>
      <c r="D286" s="2"/>
      <c r="E286" s="44"/>
      <c r="F286" s="2"/>
      <c r="G286" s="44"/>
      <c r="H286" s="141"/>
      <c r="I286" s="9"/>
      <c r="J286" s="141"/>
      <c r="K286" s="2"/>
      <c r="L286" s="1"/>
      <c r="M286" s="44"/>
      <c r="N286" s="53"/>
      <c r="O286" s="142"/>
      <c r="P286" s="143"/>
      <c r="Q286" s="142"/>
    </row>
    <row r="287" spans="1:17" ht="23.25" x14ac:dyDescent="0.35">
      <c r="A287" s="44"/>
      <c r="B287" s="2"/>
      <c r="C287" s="44"/>
      <c r="D287" s="2"/>
      <c r="E287" s="44"/>
      <c r="F287" s="2"/>
      <c r="G287" s="44"/>
      <c r="H287" s="141">
        <v>2</v>
      </c>
      <c r="I287" s="9">
        <v>3</v>
      </c>
      <c r="J287" s="141">
        <v>3</v>
      </c>
      <c r="K287" s="2"/>
      <c r="L287" s="1"/>
      <c r="M287" s="44"/>
      <c r="N287" s="47" t="s">
        <v>91</v>
      </c>
      <c r="O287" s="142"/>
      <c r="P287" s="143">
        <f>+P288</f>
        <v>14942.15</v>
      </c>
      <c r="Q287" s="142"/>
    </row>
    <row r="288" spans="1:17" ht="23.25" x14ac:dyDescent="0.35">
      <c r="A288" s="44"/>
      <c r="B288" s="2"/>
      <c r="C288" s="44"/>
      <c r="D288" s="2"/>
      <c r="E288" s="44"/>
      <c r="F288" s="2"/>
      <c r="G288" s="44">
        <v>9995</v>
      </c>
      <c r="H288" s="141">
        <v>2</v>
      </c>
      <c r="I288" s="9">
        <v>3</v>
      </c>
      <c r="J288" s="141">
        <v>3</v>
      </c>
      <c r="K288" s="2">
        <v>2</v>
      </c>
      <c r="L288" s="1">
        <v>0</v>
      </c>
      <c r="M288" s="44">
        <v>1</v>
      </c>
      <c r="N288" s="53" t="s">
        <v>92</v>
      </c>
      <c r="O288" s="142"/>
      <c r="P288" s="93">
        <f>581.5+391.57+10049.77+3919.31</f>
        <v>14942.15</v>
      </c>
      <c r="Q288" s="142"/>
    </row>
    <row r="289" spans="1:17" ht="23.25" x14ac:dyDescent="0.35">
      <c r="A289" s="44"/>
      <c r="B289" s="44"/>
      <c r="C289" s="44"/>
      <c r="D289" s="2"/>
      <c r="E289" s="44"/>
      <c r="F289" s="2"/>
      <c r="G289" s="44"/>
      <c r="H289" s="141"/>
      <c r="I289" s="9"/>
      <c r="J289" s="141"/>
      <c r="K289" s="2"/>
      <c r="L289" s="1"/>
      <c r="M289" s="44"/>
      <c r="N289" s="53"/>
      <c r="O289" s="142"/>
      <c r="P289" s="93"/>
      <c r="Q289" s="145"/>
    </row>
    <row r="290" spans="1:17" ht="23.25" x14ac:dyDescent="0.35">
      <c r="A290" s="44"/>
      <c r="B290" s="44"/>
      <c r="C290" s="44"/>
      <c r="D290" s="2"/>
      <c r="E290" s="44"/>
      <c r="F290" s="2"/>
      <c r="G290" s="44"/>
      <c r="H290" s="141">
        <v>2</v>
      </c>
      <c r="I290" s="9">
        <v>3</v>
      </c>
      <c r="J290" s="141">
        <v>6</v>
      </c>
      <c r="K290" s="2"/>
      <c r="L290" s="1"/>
      <c r="M290" s="44"/>
      <c r="N290" s="47" t="s">
        <v>163</v>
      </c>
      <c r="O290" s="142"/>
      <c r="P290" s="143">
        <f>+P291+P292</f>
        <v>574.03</v>
      </c>
      <c r="Q290" s="142">
        <f>+Q291+Q292</f>
        <v>574.03</v>
      </c>
    </row>
    <row r="291" spans="1:17" ht="23.25" x14ac:dyDescent="0.35">
      <c r="A291" s="44"/>
      <c r="B291" s="44"/>
      <c r="C291" s="44"/>
      <c r="D291" s="2"/>
      <c r="E291" s="44"/>
      <c r="F291" s="2"/>
      <c r="G291" s="44">
        <v>9995</v>
      </c>
      <c r="H291" s="44">
        <v>2</v>
      </c>
      <c r="I291" s="2">
        <v>3</v>
      </c>
      <c r="J291" s="44">
        <v>6</v>
      </c>
      <c r="K291" s="2">
        <v>3</v>
      </c>
      <c r="L291" s="1">
        <v>0</v>
      </c>
      <c r="M291" s="44">
        <v>1</v>
      </c>
      <c r="N291" s="53" t="s">
        <v>107</v>
      </c>
      <c r="O291" s="142"/>
      <c r="P291" s="93">
        <v>243.63</v>
      </c>
      <c r="Q291" s="145">
        <v>243.63</v>
      </c>
    </row>
    <row r="292" spans="1:17" ht="23.25" x14ac:dyDescent="0.35">
      <c r="A292" s="44"/>
      <c r="B292" s="44"/>
      <c r="C292" s="44"/>
      <c r="D292" s="2"/>
      <c r="E292" s="44"/>
      <c r="F292" s="2"/>
      <c r="G292" s="44">
        <v>9995</v>
      </c>
      <c r="H292" s="44">
        <v>2</v>
      </c>
      <c r="I292" s="2">
        <v>3</v>
      </c>
      <c r="J292" s="44">
        <v>6</v>
      </c>
      <c r="K292" s="2">
        <v>3</v>
      </c>
      <c r="L292" s="1">
        <v>0</v>
      </c>
      <c r="M292" s="44">
        <v>2</v>
      </c>
      <c r="N292" s="53" t="s">
        <v>164</v>
      </c>
      <c r="O292" s="142"/>
      <c r="P292" s="93">
        <v>330.4</v>
      </c>
      <c r="Q292" s="145">
        <v>330.4</v>
      </c>
    </row>
    <row r="293" spans="1:17" ht="23.25" x14ac:dyDescent="0.35">
      <c r="A293" s="44"/>
      <c r="B293" s="44"/>
      <c r="C293" s="44"/>
      <c r="D293" s="2"/>
      <c r="E293" s="44"/>
      <c r="F293" s="2"/>
      <c r="G293" s="44"/>
      <c r="H293" s="44"/>
      <c r="I293" s="2"/>
      <c r="J293" s="44"/>
      <c r="K293" s="2"/>
      <c r="L293" s="1"/>
      <c r="M293" s="44"/>
      <c r="N293" s="53"/>
      <c r="O293" s="142"/>
      <c r="P293" s="93"/>
      <c r="Q293" s="145"/>
    </row>
    <row r="294" spans="1:17" ht="23.25" x14ac:dyDescent="0.35">
      <c r="A294" s="44"/>
      <c r="B294" s="44"/>
      <c r="C294" s="44"/>
      <c r="D294" s="2"/>
      <c r="E294" s="44"/>
      <c r="F294" s="2"/>
      <c r="G294" s="44"/>
      <c r="H294" s="141">
        <v>2</v>
      </c>
      <c r="I294" s="9">
        <v>3</v>
      </c>
      <c r="J294" s="141">
        <v>7</v>
      </c>
      <c r="K294" s="2"/>
      <c r="L294" s="1"/>
      <c r="M294" s="44"/>
      <c r="N294" s="47" t="s">
        <v>165</v>
      </c>
      <c r="O294" s="142"/>
      <c r="P294" s="143">
        <f>+P295</f>
        <v>5609.44</v>
      </c>
      <c r="Q294" s="142">
        <f>+Q295</f>
        <v>5609.44</v>
      </c>
    </row>
    <row r="295" spans="1:17" ht="23.25" x14ac:dyDescent="0.35">
      <c r="A295" s="44"/>
      <c r="B295" s="44"/>
      <c r="C295" s="44"/>
      <c r="D295" s="2"/>
      <c r="E295" s="44"/>
      <c r="F295" s="2"/>
      <c r="G295" s="44">
        <v>9995</v>
      </c>
      <c r="H295" s="44">
        <v>2</v>
      </c>
      <c r="I295" s="2">
        <v>3</v>
      </c>
      <c r="J295" s="44">
        <v>7</v>
      </c>
      <c r="K295" s="2">
        <v>1</v>
      </c>
      <c r="L295" s="1">
        <v>0</v>
      </c>
      <c r="M295" s="44">
        <v>1</v>
      </c>
      <c r="N295" s="53" t="s">
        <v>152</v>
      </c>
      <c r="O295" s="142"/>
      <c r="P295" s="93">
        <f>3500+3000-5000+4109.44</f>
        <v>5609.44</v>
      </c>
      <c r="Q295" s="145">
        <f>3500+3000-5000+4109.44</f>
        <v>5609.44</v>
      </c>
    </row>
    <row r="296" spans="1:17" ht="23.25" x14ac:dyDescent="0.35">
      <c r="A296" s="44"/>
      <c r="B296" s="44"/>
      <c r="C296" s="44"/>
      <c r="D296" s="2"/>
      <c r="E296" s="44"/>
      <c r="F296" s="2"/>
      <c r="G296" s="44"/>
      <c r="H296" s="44"/>
      <c r="I296" s="2"/>
      <c r="J296" s="44"/>
      <c r="K296" s="2"/>
      <c r="L296" s="1"/>
      <c r="M296" s="44"/>
      <c r="N296" s="53"/>
      <c r="O296" s="142"/>
      <c r="P296" s="93"/>
      <c r="Q296" s="145"/>
    </row>
    <row r="297" spans="1:17" ht="23.25" x14ac:dyDescent="0.35">
      <c r="A297" s="44"/>
      <c r="B297" s="44"/>
      <c r="C297" s="44"/>
      <c r="D297" s="2"/>
      <c r="E297" s="44"/>
      <c r="F297" s="2"/>
      <c r="G297" s="44"/>
      <c r="H297" s="141">
        <v>2</v>
      </c>
      <c r="I297" s="9">
        <v>6</v>
      </c>
      <c r="J297" s="44"/>
      <c r="K297" s="2"/>
      <c r="L297" s="1"/>
      <c r="M297" s="44"/>
      <c r="N297" s="47" t="s">
        <v>121</v>
      </c>
      <c r="O297" s="142">
        <f>+P297-Q297</f>
        <v>120356.45</v>
      </c>
      <c r="P297" s="143">
        <f>+P299</f>
        <v>120356.45</v>
      </c>
      <c r="Q297" s="145"/>
    </row>
    <row r="298" spans="1:17" ht="23.25" x14ac:dyDescent="0.35">
      <c r="A298" s="44"/>
      <c r="B298" s="44"/>
      <c r="C298" s="44"/>
      <c r="D298" s="2"/>
      <c r="E298" s="44"/>
      <c r="F298" s="2"/>
      <c r="G298" s="44"/>
      <c r="H298" s="44"/>
      <c r="I298" s="2"/>
      <c r="J298" s="44"/>
      <c r="K298" s="2"/>
      <c r="L298" s="1"/>
      <c r="M298" s="44"/>
      <c r="N298" s="53"/>
      <c r="O298" s="142"/>
      <c r="P298" s="93"/>
      <c r="Q298" s="145"/>
    </row>
    <row r="299" spans="1:17" ht="23.25" x14ac:dyDescent="0.35">
      <c r="A299" s="44"/>
      <c r="B299" s="44"/>
      <c r="C299" s="44"/>
      <c r="D299" s="2"/>
      <c r="E299" s="44"/>
      <c r="F299" s="2"/>
      <c r="G299" s="44"/>
      <c r="H299" s="141">
        <v>2</v>
      </c>
      <c r="I299" s="9">
        <v>6</v>
      </c>
      <c r="J299" s="141">
        <v>1</v>
      </c>
      <c r="K299" s="2"/>
      <c r="L299" s="1"/>
      <c r="M299" s="44"/>
      <c r="N299" s="47" t="s">
        <v>166</v>
      </c>
      <c r="O299" s="142"/>
      <c r="P299" s="143">
        <f>+P300</f>
        <v>120356.45</v>
      </c>
      <c r="Q299" s="145"/>
    </row>
    <row r="300" spans="1:17" ht="23.25" x14ac:dyDescent="0.35">
      <c r="A300" s="44"/>
      <c r="B300" s="44"/>
      <c r="C300" s="44"/>
      <c r="D300" s="2"/>
      <c r="E300" s="44"/>
      <c r="F300" s="2"/>
      <c r="G300" s="44">
        <v>9995</v>
      </c>
      <c r="H300" s="44">
        <v>2</v>
      </c>
      <c r="I300" s="2">
        <v>6</v>
      </c>
      <c r="J300" s="44">
        <v>1</v>
      </c>
      <c r="K300" s="2">
        <v>1</v>
      </c>
      <c r="L300" s="1">
        <v>0</v>
      </c>
      <c r="M300" s="44">
        <v>1</v>
      </c>
      <c r="N300" s="53" t="s">
        <v>123</v>
      </c>
      <c r="O300" s="142"/>
      <c r="P300" s="93">
        <f>120356.45</f>
        <v>120356.45</v>
      </c>
      <c r="Q300" s="145"/>
    </row>
    <row r="301" spans="1:17" ht="24" thickBot="1" x14ac:dyDescent="0.4">
      <c r="A301" s="44"/>
      <c r="B301" s="44"/>
      <c r="C301" s="44"/>
      <c r="D301" s="2"/>
      <c r="E301" s="146"/>
      <c r="F301" s="2"/>
      <c r="G301" s="44"/>
      <c r="H301" s="52"/>
      <c r="I301" s="53"/>
      <c r="J301" s="52"/>
      <c r="K301" s="53"/>
      <c r="L301" s="147"/>
      <c r="M301" s="63"/>
      <c r="N301" s="53"/>
      <c r="O301" s="65"/>
      <c r="P301" s="51"/>
      <c r="Q301" s="65"/>
    </row>
    <row r="302" spans="1:17" ht="24" thickBot="1" x14ac:dyDescent="0.4">
      <c r="A302" s="224"/>
      <c r="B302" s="225"/>
      <c r="C302" s="225"/>
      <c r="D302" s="225"/>
      <c r="E302" s="225"/>
      <c r="F302" s="225"/>
      <c r="G302" s="225"/>
      <c r="H302" s="225"/>
      <c r="I302" s="225"/>
      <c r="J302" s="225"/>
      <c r="K302" s="225"/>
      <c r="L302" s="225"/>
      <c r="M302" s="88"/>
      <c r="N302" s="132" t="s">
        <v>167</v>
      </c>
      <c r="O302" s="148">
        <f>+O297+O282+O271+O266</f>
        <v>153487.88</v>
      </c>
      <c r="P302" s="148">
        <f>+P297+P282+P271+P266</f>
        <v>536931.85</v>
      </c>
      <c r="Q302" s="149">
        <f>+Q297+Q282+Q271+Q266</f>
        <v>383443.97</v>
      </c>
    </row>
    <row r="303" spans="1:17" ht="24" thickBot="1" x14ac:dyDescent="0.4">
      <c r="A303" s="224"/>
      <c r="B303" s="225"/>
      <c r="C303" s="225"/>
      <c r="D303" s="225"/>
      <c r="E303" s="225"/>
      <c r="F303" s="225"/>
      <c r="G303" s="225"/>
      <c r="H303" s="225"/>
      <c r="I303" s="225"/>
      <c r="J303" s="225"/>
      <c r="K303" s="225"/>
      <c r="L303" s="225"/>
      <c r="M303" s="150"/>
      <c r="N303" s="151" t="s">
        <v>168</v>
      </c>
      <c r="O303" s="152">
        <f>+O302+O237+O146</f>
        <v>3070567.26</v>
      </c>
      <c r="P303" s="153">
        <f>+P302+P237+P146</f>
        <v>9186556.1899999995</v>
      </c>
      <c r="Q303" s="133">
        <f>+Q302+Q237+Q146</f>
        <v>6115988.9300000006</v>
      </c>
    </row>
    <row r="304" spans="1:17" ht="23.25" x14ac:dyDescent="0.35">
      <c r="A304" s="2"/>
      <c r="B304" s="2"/>
      <c r="C304" s="2"/>
      <c r="D304" s="2"/>
      <c r="E304" s="2"/>
      <c r="F304" s="2"/>
      <c r="G304" s="2"/>
      <c r="H304" s="45"/>
      <c r="I304" s="45"/>
      <c r="J304" s="45"/>
      <c r="K304" s="45"/>
      <c r="L304" s="45"/>
      <c r="M304" s="45"/>
      <c r="N304" s="45"/>
      <c r="O304" s="154"/>
      <c r="P304" s="68"/>
      <c r="Q304" s="68"/>
    </row>
    <row r="305" spans="1:17" ht="23.25" x14ac:dyDescent="0.3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55"/>
      <c r="P305" s="102"/>
      <c r="Q305" s="156"/>
    </row>
    <row r="306" spans="1:17" ht="23.25" x14ac:dyDescent="0.3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55"/>
      <c r="P306" s="102"/>
      <c r="Q306" s="156"/>
    </row>
    <row r="307" spans="1:17" ht="23.25" x14ac:dyDescent="0.3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55"/>
      <c r="P307" s="102"/>
      <c r="Q307" s="156"/>
    </row>
    <row r="308" spans="1:17" ht="23.25" x14ac:dyDescent="0.3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55"/>
      <c r="P308" s="102"/>
      <c r="Q308" s="156"/>
    </row>
    <row r="309" spans="1:17" ht="23.25" x14ac:dyDescent="0.3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01"/>
      <c r="P309" s="102"/>
      <c r="Q309" s="102"/>
    </row>
    <row r="310" spans="1:17" ht="23.25" x14ac:dyDescent="0.35">
      <c r="A310" s="12"/>
      <c r="B310" s="12"/>
      <c r="C310" s="12"/>
      <c r="D310" s="12"/>
      <c r="E310" s="12"/>
      <c r="F310" s="2"/>
      <c r="G310" s="2"/>
      <c r="H310" s="2"/>
      <c r="I310" s="12"/>
      <c r="J310" s="12"/>
      <c r="K310" s="12"/>
      <c r="L310" s="12"/>
      <c r="M310" s="12"/>
      <c r="N310" s="12"/>
      <c r="O310" s="157"/>
      <c r="P310" s="12"/>
      <c r="Q310" s="12"/>
    </row>
    <row r="311" spans="1:17" ht="23.25" x14ac:dyDescent="0.35">
      <c r="A311" s="95"/>
      <c r="B311" s="95"/>
      <c r="C311" s="95"/>
      <c r="D311" s="95"/>
      <c r="E311" s="95"/>
      <c r="F311" s="95"/>
      <c r="G311" s="95"/>
      <c r="H311" s="96"/>
      <c r="I311" s="2"/>
      <c r="J311" s="2"/>
      <c r="K311" s="2"/>
      <c r="L311" s="2"/>
      <c r="M311" s="2"/>
      <c r="N311" s="96"/>
      <c r="O311" s="96"/>
      <c r="P311" s="97"/>
      <c r="Q311" s="98"/>
    </row>
    <row r="312" spans="1:17" ht="23.25" x14ac:dyDescent="0.35">
      <c r="A312" s="207" t="s">
        <v>130</v>
      </c>
      <c r="B312" s="194"/>
      <c r="C312" s="194"/>
      <c r="D312" s="194"/>
      <c r="E312" s="194"/>
      <c r="F312" s="194"/>
      <c r="G312" s="194"/>
      <c r="H312" s="194"/>
      <c r="I312" s="194"/>
      <c r="J312" s="2"/>
      <c r="K312" s="2"/>
      <c r="L312" s="2"/>
      <c r="M312" s="2"/>
      <c r="N312" s="12" t="s">
        <v>131</v>
      </c>
      <c r="O312" s="194" t="s">
        <v>132</v>
      </c>
      <c r="P312" s="194"/>
      <c r="Q312" s="194"/>
    </row>
    <row r="313" spans="1:17" ht="23.25" x14ac:dyDescent="0.3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01"/>
      <c r="P313" s="102"/>
      <c r="Q313" s="102"/>
    </row>
    <row r="314" spans="1:17" ht="23.25" x14ac:dyDescent="0.3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01"/>
      <c r="P314" s="102"/>
      <c r="Q314" s="102"/>
    </row>
    <row r="315" spans="1:17" ht="23.25" x14ac:dyDescent="0.3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01"/>
      <c r="P315" s="102"/>
      <c r="Q315" s="102"/>
    </row>
    <row r="316" spans="1:17" ht="23.25" x14ac:dyDescent="0.3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01"/>
      <c r="P316" s="102"/>
      <c r="Q316" s="102"/>
    </row>
    <row r="317" spans="1:17" ht="23.25" x14ac:dyDescent="0.3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01"/>
      <c r="P317" s="102"/>
      <c r="Q317" s="102"/>
    </row>
    <row r="318" spans="1:17" ht="23.25" x14ac:dyDescent="0.35">
      <c r="A318" s="20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01"/>
      <c r="P318" s="102"/>
      <c r="Q318" s="102"/>
    </row>
    <row r="319" spans="1:17" ht="23.25" x14ac:dyDescent="0.35">
      <c r="A319" s="20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01"/>
      <c r="P319" s="102"/>
      <c r="Q319" s="102"/>
    </row>
    <row r="320" spans="1:17" ht="23.25" x14ac:dyDescent="0.35">
      <c r="A320" s="68"/>
      <c r="B320" s="68"/>
      <c r="C320" s="68"/>
      <c r="D320" s="68"/>
      <c r="E320" s="68"/>
      <c r="F320" s="12"/>
      <c r="G320" s="12"/>
      <c r="H320" s="12"/>
      <c r="I320" s="12"/>
      <c r="J320" s="12"/>
      <c r="K320" s="12"/>
      <c r="L320" s="12"/>
      <c r="M320" s="12"/>
      <c r="N320" s="12"/>
      <c r="O320" s="101"/>
      <c r="P320" s="102"/>
      <c r="Q320" s="102"/>
    </row>
    <row r="321" spans="1:17" ht="24" thickBot="1" x14ac:dyDescent="0.4">
      <c r="A321" s="158"/>
      <c r="B321" s="159"/>
      <c r="C321" s="159"/>
      <c r="D321" s="159"/>
      <c r="E321" s="159"/>
      <c r="F321" s="159"/>
      <c r="G321" s="159"/>
      <c r="H321" s="159"/>
      <c r="I321" s="159"/>
      <c r="J321" s="12"/>
      <c r="K321" s="12"/>
      <c r="L321" s="12"/>
      <c r="M321" s="12"/>
      <c r="N321" s="12"/>
      <c r="O321" s="101"/>
      <c r="P321" s="102"/>
      <c r="Q321" s="102"/>
    </row>
    <row r="322" spans="1:17" ht="24" thickBot="1" x14ac:dyDescent="0.4">
      <c r="A322" s="208">
        <v>4</v>
      </c>
      <c r="B322" s="209"/>
      <c r="C322" s="209"/>
      <c r="D322" s="209"/>
      <c r="E322" s="209"/>
      <c r="F322" s="209"/>
      <c r="G322" s="209"/>
      <c r="H322" s="209"/>
      <c r="I322" s="209"/>
      <c r="J322" s="209"/>
      <c r="K322" s="209"/>
      <c r="L322" s="209"/>
      <c r="M322" s="209"/>
      <c r="N322" s="209"/>
      <c r="O322" s="209"/>
      <c r="P322" s="209"/>
      <c r="Q322" s="210"/>
    </row>
    <row r="323" spans="1:17" ht="23.25" x14ac:dyDescent="0.35">
      <c r="A323" s="211" t="s">
        <v>1</v>
      </c>
      <c r="B323" s="203"/>
      <c r="C323" s="203"/>
      <c r="D323" s="203"/>
      <c r="E323" s="203"/>
      <c r="F323" s="203"/>
      <c r="G323" s="203"/>
      <c r="H323" s="203"/>
      <c r="I323" s="203"/>
      <c r="J323" s="203"/>
      <c r="K323" s="203"/>
      <c r="L323" s="203"/>
      <c r="M323" s="203"/>
      <c r="N323" s="203"/>
      <c r="O323" s="203"/>
      <c r="P323" s="203"/>
      <c r="Q323" s="212"/>
    </row>
    <row r="324" spans="1:17" ht="23.25" x14ac:dyDescent="0.35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3"/>
      <c r="Q324" s="4" t="s">
        <v>2</v>
      </c>
    </row>
    <row r="325" spans="1:17" ht="23.25" x14ac:dyDescent="0.35">
      <c r="A325" s="5" t="s">
        <v>3</v>
      </c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6"/>
      <c r="P325" s="7" t="s">
        <v>4</v>
      </c>
      <c r="Q325" s="8"/>
    </row>
    <row r="326" spans="1:17" ht="23.25" x14ac:dyDescent="0.35">
      <c r="A326" s="5" t="s">
        <v>5</v>
      </c>
      <c r="B326" s="2"/>
      <c r="C326" s="2">
        <v>5120</v>
      </c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9"/>
      <c r="P326" s="10" t="s">
        <v>6</v>
      </c>
      <c r="Q326" s="11"/>
    </row>
    <row r="327" spans="1:17" ht="23.25" x14ac:dyDescent="0.35">
      <c r="A327" s="5" t="s">
        <v>7</v>
      </c>
      <c r="B327" s="9"/>
      <c r="C327" s="9" t="s">
        <v>8</v>
      </c>
      <c r="D327" s="9"/>
      <c r="E327" s="9"/>
      <c r="F327" s="2"/>
      <c r="G327" s="2"/>
      <c r="H327" s="2"/>
      <c r="I327" s="2"/>
      <c r="J327" s="2"/>
      <c r="K327" s="2"/>
      <c r="L327" s="2"/>
      <c r="M327" s="2"/>
      <c r="N327" s="2"/>
      <c r="O327" s="9"/>
      <c r="P327" s="10" t="s">
        <v>10</v>
      </c>
      <c r="Q327" s="11"/>
    </row>
    <row r="328" spans="1:17" ht="24" thickBot="1" x14ac:dyDescent="0.4">
      <c r="A328" s="5" t="s">
        <v>11</v>
      </c>
      <c r="B328" s="9">
        <v>2017</v>
      </c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9"/>
      <c r="P328" s="13" t="s">
        <v>12</v>
      </c>
      <c r="Q328" s="14"/>
    </row>
    <row r="329" spans="1:17" ht="24" thickBot="1" x14ac:dyDescent="0.4">
      <c r="A329" s="213" t="s">
        <v>13</v>
      </c>
      <c r="B329" s="214"/>
      <c r="C329" s="214"/>
      <c r="D329" s="214"/>
      <c r="E329" s="214"/>
      <c r="F329" s="214"/>
      <c r="G329" s="214"/>
      <c r="H329" s="214"/>
      <c r="I329" s="214"/>
      <c r="J329" s="214"/>
      <c r="K329" s="214"/>
      <c r="L329" s="215"/>
      <c r="M329" s="19"/>
      <c r="N329" s="19"/>
      <c r="O329" s="216" t="s">
        <v>14</v>
      </c>
      <c r="P329" s="203"/>
      <c r="Q329" s="212"/>
    </row>
    <row r="330" spans="1:17" ht="24" thickBot="1" x14ac:dyDescent="0.4">
      <c r="A330" s="196">
        <v>2</v>
      </c>
      <c r="B330" s="197"/>
      <c r="C330" s="197"/>
      <c r="D330" s="197"/>
      <c r="E330" s="197"/>
      <c r="F330" s="197"/>
      <c r="G330" s="198"/>
      <c r="H330" s="7" t="s">
        <v>15</v>
      </c>
      <c r="I330" s="160"/>
      <c r="J330" s="160"/>
      <c r="K330" s="160"/>
      <c r="L330" s="161"/>
      <c r="M330" s="161"/>
      <c r="N330" s="160"/>
      <c r="O330" s="162" t="s">
        <v>16</v>
      </c>
      <c r="P330" s="112" t="s">
        <v>17</v>
      </c>
      <c r="Q330" s="163" t="s">
        <v>18</v>
      </c>
    </row>
    <row r="331" spans="1:17" ht="23.25" x14ac:dyDescent="0.35">
      <c r="A331" s="199" t="s">
        <v>19</v>
      </c>
      <c r="B331" s="164" t="s">
        <v>20</v>
      </c>
      <c r="C331" s="201" t="s">
        <v>21</v>
      </c>
      <c r="D331" s="165" t="s">
        <v>22</v>
      </c>
      <c r="E331" s="112" t="s">
        <v>23</v>
      </c>
      <c r="F331" s="203" t="s">
        <v>24</v>
      </c>
      <c r="G331" s="205" t="s">
        <v>25</v>
      </c>
      <c r="H331" s="203" t="s">
        <v>158</v>
      </c>
      <c r="I331" s="112" t="s">
        <v>30</v>
      </c>
      <c r="J331" s="113"/>
      <c r="K331" s="162"/>
      <c r="L331" s="112" t="s">
        <v>20</v>
      </c>
      <c r="M331" s="163"/>
      <c r="N331" s="113"/>
      <c r="O331" s="188">
        <v>3</v>
      </c>
      <c r="P331" s="190">
        <v>4</v>
      </c>
      <c r="Q331" s="192">
        <v>5</v>
      </c>
    </row>
    <row r="332" spans="1:17" ht="24" thickBot="1" x14ac:dyDescent="0.4">
      <c r="A332" s="200"/>
      <c r="B332" s="110" t="s">
        <v>19</v>
      </c>
      <c r="C332" s="202"/>
      <c r="D332" s="111" t="s">
        <v>28</v>
      </c>
      <c r="E332" s="130" t="s">
        <v>29</v>
      </c>
      <c r="F332" s="204"/>
      <c r="G332" s="206"/>
      <c r="H332" s="204"/>
      <c r="I332" s="130"/>
      <c r="J332" s="159"/>
      <c r="K332" s="158"/>
      <c r="L332" s="130" t="s">
        <v>159</v>
      </c>
      <c r="M332" s="166"/>
      <c r="N332" s="159"/>
      <c r="O332" s="189"/>
      <c r="P332" s="191"/>
      <c r="Q332" s="193"/>
    </row>
    <row r="333" spans="1:17" ht="23.25" x14ac:dyDescent="0.35">
      <c r="A333" s="162"/>
      <c r="B333" s="112"/>
      <c r="C333" s="113"/>
      <c r="D333" s="112"/>
      <c r="E333" s="113"/>
      <c r="F333" s="112"/>
      <c r="G333" s="113"/>
      <c r="H333" s="167"/>
      <c r="I333" s="113"/>
      <c r="J333" s="112"/>
      <c r="K333" s="113"/>
      <c r="L333" s="112"/>
      <c r="M333" s="113"/>
      <c r="N333" s="162"/>
      <c r="O333" s="114"/>
      <c r="P333" s="115"/>
      <c r="Q333" s="116"/>
    </row>
    <row r="334" spans="1:17" ht="23.25" x14ac:dyDescent="0.35">
      <c r="A334" s="20"/>
      <c r="B334" s="117"/>
      <c r="C334" s="12"/>
      <c r="D334" s="117"/>
      <c r="E334" s="12"/>
      <c r="F334" s="117"/>
      <c r="G334" s="12"/>
      <c r="H334" s="168">
        <v>4</v>
      </c>
      <c r="I334" s="119">
        <v>1</v>
      </c>
      <c r="J334" s="118"/>
      <c r="K334" s="12"/>
      <c r="L334" s="117"/>
      <c r="M334" s="12"/>
      <c r="N334" s="169" t="s">
        <v>169</v>
      </c>
      <c r="O334" s="122"/>
      <c r="P334" s="135">
        <f>+P335</f>
        <v>2961257.620000001</v>
      </c>
      <c r="Q334" s="120"/>
    </row>
    <row r="335" spans="1:17" ht="23.25" x14ac:dyDescent="0.35">
      <c r="A335" s="56">
        <v>11</v>
      </c>
      <c r="B335" s="44" t="s">
        <v>33</v>
      </c>
      <c r="C335" s="2" t="s">
        <v>33</v>
      </c>
      <c r="D335" s="54">
        <v>0.1</v>
      </c>
      <c r="E335" s="2" t="s">
        <v>34</v>
      </c>
      <c r="F335" s="44" t="s">
        <v>36</v>
      </c>
      <c r="G335" s="45"/>
      <c r="H335" s="52">
        <v>4</v>
      </c>
      <c r="I335" s="53">
        <v>1</v>
      </c>
      <c r="J335" s="52">
        <v>1</v>
      </c>
      <c r="K335" s="53">
        <v>1</v>
      </c>
      <c r="L335" s="52">
        <v>1</v>
      </c>
      <c r="M335" s="47"/>
      <c r="N335" s="1" t="s">
        <v>170</v>
      </c>
      <c r="O335" s="44"/>
      <c r="P335" s="102">
        <f>+'[1]VAR. EFECT'!B11</f>
        <v>2961257.620000001</v>
      </c>
      <c r="Q335" s="48"/>
    </row>
    <row r="336" spans="1:17" ht="23.25" x14ac:dyDescent="0.35">
      <c r="A336" s="56"/>
      <c r="B336" s="54"/>
      <c r="C336" s="45"/>
      <c r="D336" s="54"/>
      <c r="E336" s="45"/>
      <c r="F336" s="54"/>
      <c r="G336" s="45"/>
      <c r="H336" s="46"/>
      <c r="I336" s="47"/>
      <c r="J336" s="52"/>
      <c r="K336" s="53"/>
      <c r="L336" s="52"/>
      <c r="M336" s="53"/>
      <c r="N336" s="147"/>
      <c r="O336" s="48"/>
      <c r="P336" s="77"/>
      <c r="Q336" s="48"/>
    </row>
    <row r="337" spans="1:17" ht="23.25" x14ac:dyDescent="0.35">
      <c r="A337" s="56"/>
      <c r="B337" s="54"/>
      <c r="C337" s="45"/>
      <c r="D337" s="54"/>
      <c r="E337" s="45"/>
      <c r="F337" s="54"/>
      <c r="G337" s="45"/>
      <c r="H337" s="52"/>
      <c r="I337" s="53"/>
      <c r="J337" s="52"/>
      <c r="K337" s="53"/>
      <c r="L337" s="52"/>
      <c r="M337" s="53"/>
      <c r="N337" s="147"/>
      <c r="O337" s="50"/>
      <c r="P337" s="77"/>
      <c r="Q337" s="50"/>
    </row>
    <row r="338" spans="1:17" ht="23.25" x14ac:dyDescent="0.35">
      <c r="A338" s="56"/>
      <c r="B338" s="44" t="s">
        <v>33</v>
      </c>
      <c r="C338" s="2" t="s">
        <v>33</v>
      </c>
      <c r="D338" s="117"/>
      <c r="E338" s="2" t="s">
        <v>34</v>
      </c>
      <c r="F338" s="44" t="s">
        <v>36</v>
      </c>
      <c r="G338" s="45"/>
      <c r="H338" s="46">
        <v>4</v>
      </c>
      <c r="I338" s="47">
        <v>2</v>
      </c>
      <c r="J338" s="46"/>
      <c r="K338" s="47"/>
      <c r="L338" s="46"/>
      <c r="M338" s="47"/>
      <c r="N338" s="144" t="s">
        <v>171</v>
      </c>
      <c r="O338" s="50"/>
      <c r="P338" s="78"/>
      <c r="Q338" s="48">
        <f>+Q339</f>
        <v>2413841.19</v>
      </c>
    </row>
    <row r="339" spans="1:17" ht="140.25" thickBot="1" x14ac:dyDescent="0.4">
      <c r="A339" s="62"/>
      <c r="B339" s="60"/>
      <c r="C339" s="61"/>
      <c r="D339" s="60"/>
      <c r="E339" s="61"/>
      <c r="F339" s="60"/>
      <c r="G339" s="61"/>
      <c r="H339" s="63">
        <v>4</v>
      </c>
      <c r="I339" s="64">
        <v>2</v>
      </c>
      <c r="J339" s="63">
        <v>1</v>
      </c>
      <c r="K339" s="64">
        <v>1</v>
      </c>
      <c r="L339" s="63">
        <v>1</v>
      </c>
      <c r="M339" s="64"/>
      <c r="N339" s="170" t="s">
        <v>172</v>
      </c>
      <c r="O339" s="48"/>
      <c r="P339" s="77"/>
      <c r="Q339" s="50">
        <f>4000+1680+1950+4000+4000+7500+7000+25625.74+22339.55+21.54+518588.19+3816+20777.4+8232+69136+20763.91+89680+83214.8+28533.06+61310.2+10452.5+6555+2945+6189.43+41040+16531.63+16492.5+8565.2+16140+71771.95+110687.74+503008.2+15933+11873.35+320760.62+7838.62+3568.02+30320.69+5504.26+3497.03+7556.34+9529.2+101699.39+32875.58+70337.55</f>
        <v>2413841.19</v>
      </c>
    </row>
    <row r="340" spans="1:17" ht="24" thickBot="1" x14ac:dyDescent="0.4">
      <c r="A340" s="171"/>
      <c r="B340" s="150"/>
      <c r="C340" s="150"/>
      <c r="D340" s="150"/>
      <c r="E340" s="150"/>
      <c r="F340" s="150"/>
      <c r="G340" s="150"/>
      <c r="H340" s="172"/>
      <c r="I340" s="172"/>
      <c r="J340" s="172"/>
      <c r="K340" s="172"/>
      <c r="L340" s="172"/>
      <c r="M340" s="173"/>
      <c r="N340" s="174"/>
      <c r="O340" s="148"/>
      <c r="P340" s="148">
        <f>+P334</f>
        <v>2961257.620000001</v>
      </c>
      <c r="Q340" s="148">
        <f>+Q338</f>
        <v>2413841.19</v>
      </c>
    </row>
    <row r="341" spans="1:17" ht="24" thickBot="1" x14ac:dyDescent="0.4">
      <c r="A341" s="62"/>
      <c r="B341" s="61"/>
      <c r="C341" s="61"/>
      <c r="D341" s="61"/>
      <c r="E341" s="61"/>
      <c r="F341" s="61"/>
      <c r="G341" s="61"/>
      <c r="H341" s="64"/>
      <c r="I341" s="64"/>
      <c r="J341" s="64"/>
      <c r="K341" s="64"/>
      <c r="L341" s="64"/>
      <c r="M341" s="175"/>
      <c r="N341" s="174"/>
      <c r="O341" s="176"/>
      <c r="P341" s="177">
        <f>+P340+P303</f>
        <v>12147813.810000001</v>
      </c>
      <c r="Q341" s="177">
        <f>+Q340+Q303</f>
        <v>8529830.120000001</v>
      </c>
    </row>
    <row r="342" spans="1:17" ht="23.25" x14ac:dyDescent="0.3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45"/>
      <c r="N342" s="45"/>
      <c r="O342" s="178"/>
      <c r="P342" s="154"/>
      <c r="Q342" s="68"/>
    </row>
    <row r="343" spans="1:17" ht="23.25" x14ac:dyDescent="0.3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45"/>
      <c r="N343" s="45"/>
      <c r="O343" s="178"/>
      <c r="P343" s="179"/>
      <c r="Q343" s="180"/>
    </row>
    <row r="344" spans="1:17" ht="23.25" x14ac:dyDescent="0.3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45"/>
      <c r="N344" s="45"/>
      <c r="O344" s="178"/>
      <c r="P344" s="179"/>
      <c r="Q344" s="143"/>
    </row>
    <row r="345" spans="1:17" ht="23.25" x14ac:dyDescent="0.3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01"/>
      <c r="P345" s="181"/>
      <c r="Q345" s="182"/>
    </row>
    <row r="346" spans="1:17" ht="23.25" x14ac:dyDescent="0.35">
      <c r="A346" s="105"/>
      <c r="B346" s="105"/>
      <c r="C346" s="105"/>
      <c r="D346" s="105"/>
      <c r="E346" s="105"/>
      <c r="F346" s="68"/>
      <c r="G346" s="68"/>
      <c r="H346" s="68"/>
      <c r="I346" s="105"/>
      <c r="J346" s="105"/>
      <c r="K346" s="105"/>
      <c r="L346" s="105"/>
      <c r="M346" s="105"/>
      <c r="N346" s="105"/>
      <c r="O346" s="183"/>
      <c r="P346" s="182"/>
      <c r="Q346" s="154"/>
    </row>
    <row r="347" spans="1:17" ht="23.25" x14ac:dyDescent="0.35">
      <c r="A347" s="105"/>
      <c r="B347" s="105"/>
      <c r="C347" s="105"/>
      <c r="D347" s="105"/>
      <c r="E347" s="105"/>
      <c r="F347" s="68"/>
      <c r="G347" s="68"/>
      <c r="H347" s="68"/>
      <c r="I347" s="105"/>
      <c r="J347" s="105"/>
      <c r="K347" s="105"/>
      <c r="L347" s="105"/>
      <c r="M347" s="105"/>
      <c r="N347" s="105"/>
      <c r="O347" s="183"/>
      <c r="P347" s="182"/>
      <c r="Q347" s="154"/>
    </row>
    <row r="348" spans="1:17" ht="23.25" x14ac:dyDescent="0.35">
      <c r="A348" s="95"/>
      <c r="B348" s="95"/>
      <c r="C348" s="95"/>
      <c r="D348" s="95"/>
      <c r="E348" s="95"/>
      <c r="F348" s="95"/>
      <c r="G348" s="95"/>
      <c r="H348" s="96"/>
      <c r="I348" s="2"/>
      <c r="J348" s="2"/>
      <c r="K348" s="2"/>
      <c r="L348" s="2"/>
      <c r="M348" s="2"/>
      <c r="N348" s="96"/>
      <c r="O348" s="96"/>
      <c r="P348" s="97"/>
      <c r="Q348" s="98"/>
    </row>
    <row r="349" spans="1:17" ht="23.25" x14ac:dyDescent="0.35">
      <c r="A349" s="194" t="s">
        <v>130</v>
      </c>
      <c r="B349" s="194"/>
      <c r="C349" s="194"/>
      <c r="D349" s="194"/>
      <c r="E349" s="194"/>
      <c r="F349" s="194"/>
      <c r="G349" s="194"/>
      <c r="H349" s="194"/>
      <c r="I349" s="194"/>
      <c r="J349" s="2"/>
      <c r="K349" s="2"/>
      <c r="L349" s="2"/>
      <c r="M349" s="2"/>
      <c r="N349" s="12" t="s">
        <v>131</v>
      </c>
      <c r="O349" s="195" t="s">
        <v>132</v>
      </c>
      <c r="P349" s="195"/>
      <c r="Q349" s="195"/>
    </row>
    <row r="350" spans="1:17" ht="23.25" x14ac:dyDescent="0.3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01"/>
      <c r="P350" s="102"/>
      <c r="Q350" s="102"/>
    </row>
    <row r="351" spans="1:17" ht="16.5" x14ac:dyDescent="0.25">
      <c r="A351" s="184"/>
      <c r="B351" s="184"/>
      <c r="C351" s="184"/>
      <c r="D351" s="184"/>
      <c r="E351" s="184"/>
      <c r="F351" s="185"/>
      <c r="G351" s="185"/>
      <c r="H351" s="185"/>
      <c r="I351" s="184"/>
      <c r="J351" s="184"/>
      <c r="K351" s="184"/>
      <c r="L351" s="184"/>
      <c r="M351" s="184"/>
      <c r="N351" s="184"/>
      <c r="O351" s="184"/>
      <c r="P351" s="184"/>
      <c r="Q351" s="186"/>
    </row>
    <row r="352" spans="1:17" ht="16.5" x14ac:dyDescent="0.25">
      <c r="A352" s="185"/>
      <c r="B352" s="185"/>
      <c r="C352" s="185"/>
      <c r="D352" s="185"/>
      <c r="E352" s="185"/>
      <c r="F352" s="185"/>
      <c r="G352" s="185"/>
      <c r="H352" s="185"/>
      <c r="I352" s="185"/>
      <c r="J352" s="185"/>
      <c r="K352" s="185"/>
      <c r="L352" s="185"/>
      <c r="M352" s="185"/>
      <c r="N352" s="185"/>
      <c r="O352" s="185"/>
      <c r="P352" s="187"/>
      <c r="Q352" s="185"/>
    </row>
  </sheetData>
  <mergeCells count="69">
    <mergeCell ref="A1:Q1"/>
    <mergeCell ref="A2:Q2"/>
    <mergeCell ref="A9:L9"/>
    <mergeCell ref="O9:Q9"/>
    <mergeCell ref="A11:G11"/>
    <mergeCell ref="A174:L174"/>
    <mergeCell ref="O174:Q174"/>
    <mergeCell ref="I12:I13"/>
    <mergeCell ref="O12:O13"/>
    <mergeCell ref="P12:P13"/>
    <mergeCell ref="Q12:Q13"/>
    <mergeCell ref="A14:G14"/>
    <mergeCell ref="A146:L146"/>
    <mergeCell ref="A12:A13"/>
    <mergeCell ref="C12:C13"/>
    <mergeCell ref="F12:F13"/>
    <mergeCell ref="G12:G13"/>
    <mergeCell ref="H12:H13"/>
    <mergeCell ref="A154:I154"/>
    <mergeCell ref="O154:Q154"/>
    <mergeCell ref="A158:E158"/>
    <mergeCell ref="A166:Q166"/>
    <mergeCell ref="A167:Q167"/>
    <mergeCell ref="A244:I244"/>
    <mergeCell ref="O244:Q244"/>
    <mergeCell ref="A176:G176"/>
    <mergeCell ref="A178:A179"/>
    <mergeCell ref="C178:C179"/>
    <mergeCell ref="F178:F179"/>
    <mergeCell ref="G178:G179"/>
    <mergeCell ref="H178:H179"/>
    <mergeCell ref="I178:I179"/>
    <mergeCell ref="O178:O179"/>
    <mergeCell ref="P178:P179"/>
    <mergeCell ref="Q178:Q179"/>
    <mergeCell ref="A237:L237"/>
    <mergeCell ref="A303:L303"/>
    <mergeCell ref="A254:Q254"/>
    <mergeCell ref="A255:Q255"/>
    <mergeCell ref="A261:L261"/>
    <mergeCell ref="O261:Q261"/>
    <mergeCell ref="A262:G262"/>
    <mergeCell ref="A263:A264"/>
    <mergeCell ref="C263:C264"/>
    <mergeCell ref="F263:F264"/>
    <mergeCell ref="G263:G264"/>
    <mergeCell ref="H263:H264"/>
    <mergeCell ref="I263:I264"/>
    <mergeCell ref="O263:O264"/>
    <mergeCell ref="P263:P264"/>
    <mergeCell ref="Q263:Q264"/>
    <mergeCell ref="A302:L302"/>
    <mergeCell ref="A312:I312"/>
    <mergeCell ref="O312:Q312"/>
    <mergeCell ref="A322:Q322"/>
    <mergeCell ref="A323:Q323"/>
    <mergeCell ref="A329:L329"/>
    <mergeCell ref="O329:Q329"/>
    <mergeCell ref="A330:G330"/>
    <mergeCell ref="A331:A332"/>
    <mergeCell ref="C331:C332"/>
    <mergeCell ref="F331:F332"/>
    <mergeCell ref="G331:G332"/>
    <mergeCell ref="O331:O332"/>
    <mergeCell ref="P331:P332"/>
    <mergeCell ref="Q331:Q332"/>
    <mergeCell ref="A349:I349"/>
    <mergeCell ref="O349:Q349"/>
    <mergeCell ref="H331:H3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ACTIVIDADES</dc:creator>
  <cp:lastModifiedBy>archivo</cp:lastModifiedBy>
  <dcterms:created xsi:type="dcterms:W3CDTF">2017-04-20T13:32:43Z</dcterms:created>
  <dcterms:modified xsi:type="dcterms:W3CDTF">2018-01-04T13:14:01Z</dcterms:modified>
</cp:coreProperties>
</file>